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55" windowHeight="8700" tabRatio="599" activeTab="0"/>
  </bookViews>
  <sheets>
    <sheet name="2021 рік" sheetId="1" r:id="rId1"/>
  </sheets>
  <externalReferences>
    <externalReference r:id="rId4"/>
  </externalReferences>
  <definedNames>
    <definedName name="_xlnm.Print_Titles" localSheetId="0">'2021 рік'!$2:$2</definedName>
  </definedNames>
  <calcPr fullCalcOnLoad="1"/>
</workbook>
</file>

<file path=xl/sharedStrings.xml><?xml version="1.0" encoding="utf-8"?>
<sst xmlns="http://schemas.openxmlformats.org/spreadsheetml/2006/main" count="738" uniqueCount="463">
  <si>
    <t>Класні журнали</t>
  </si>
  <si>
    <t>од вим</t>
  </si>
  <si>
    <t>шт.</t>
  </si>
  <si>
    <t>к-сть</t>
  </si>
  <si>
    <t>грн.</t>
  </si>
  <si>
    <t>Книги, меню</t>
  </si>
  <si>
    <t>Атестити, свідоцтва</t>
  </si>
  <si>
    <t>Підписка</t>
  </si>
  <si>
    <t>Канцтовари</t>
  </si>
  <si>
    <t>Запчастини</t>
  </si>
  <si>
    <t>Посуд</t>
  </si>
  <si>
    <t>Миючі дезинфікуючі засоби</t>
  </si>
  <si>
    <t>Госптовари</t>
  </si>
  <si>
    <t>Матеріали для ремонту</t>
  </si>
  <si>
    <t>Меблі</t>
  </si>
  <si>
    <t>Іграшки</t>
  </si>
  <si>
    <t>Спортінвентар</t>
  </si>
  <si>
    <t>Електротовари</t>
  </si>
  <si>
    <t>Паливно-мастильні матеріали</t>
  </si>
  <si>
    <t>літр</t>
  </si>
  <si>
    <t>шини</t>
  </si>
  <si>
    <t>папір</t>
  </si>
  <si>
    <t>крейда</t>
  </si>
  <si>
    <t>кг.</t>
  </si>
  <si>
    <t>чашки</t>
  </si>
  <si>
    <t>мило рідке</t>
  </si>
  <si>
    <t>пральний порошок</t>
  </si>
  <si>
    <t>миюче</t>
  </si>
  <si>
    <t>чистяще</t>
  </si>
  <si>
    <t>білизна</t>
  </si>
  <si>
    <t>дезинфікуюче</t>
  </si>
  <si>
    <t>замки різні</t>
  </si>
  <si>
    <t>віники</t>
  </si>
  <si>
    <t>вапно хлорне</t>
  </si>
  <si>
    <t>електроди</t>
  </si>
  <si>
    <t>лампи люмінісцентні</t>
  </si>
  <si>
    <t>енергозберігаючі лампи</t>
  </si>
  <si>
    <t>вага</t>
  </si>
  <si>
    <t>м кв</t>
  </si>
  <si>
    <t>електролампочки</t>
  </si>
  <si>
    <t>фарба, розчинник</t>
  </si>
  <si>
    <t>фарба емульсія</t>
  </si>
  <si>
    <t>цемент</t>
  </si>
  <si>
    <t>шпаклівка</t>
  </si>
  <si>
    <t>грунтовка</t>
  </si>
  <si>
    <t>сітка армувальна</t>
  </si>
  <si>
    <t>плитка облицювальна</t>
  </si>
  <si>
    <t>труби, згони</t>
  </si>
  <si>
    <t>лист</t>
  </si>
  <si>
    <t>м куб</t>
  </si>
  <si>
    <t>м</t>
  </si>
  <si>
    <t xml:space="preserve">вапно   </t>
  </si>
  <si>
    <t>гіпсокартон</t>
  </si>
  <si>
    <t>рулон</t>
  </si>
  <si>
    <t>вікна металопластикові</t>
  </si>
  <si>
    <t>подушки</t>
  </si>
  <si>
    <t>одіяла</t>
  </si>
  <si>
    <t>халати</t>
  </si>
  <si>
    <t>доріжка</t>
  </si>
  <si>
    <t>комплект постільний</t>
  </si>
  <si>
    <t>матраци</t>
  </si>
  <si>
    <t>рушник</t>
  </si>
  <si>
    <t>покривала</t>
  </si>
  <si>
    <t>м'ячі</t>
  </si>
  <si>
    <t>скакалки</t>
  </si>
  <si>
    <t>провід електричний</t>
  </si>
  <si>
    <t>електрорушник</t>
  </si>
  <si>
    <t>КЕКВ 1133</t>
  </si>
  <si>
    <t>діто-дні</t>
  </si>
  <si>
    <t>грн</t>
  </si>
  <si>
    <t>діти</t>
  </si>
  <si>
    <t>малозабезпечені</t>
  </si>
  <si>
    <t>категорія</t>
  </si>
  <si>
    <t>діти-сироти</t>
  </si>
  <si>
    <t>Підвіз учнів</t>
  </si>
  <si>
    <t>Підвіз вчителів</t>
  </si>
  <si>
    <t>Страхування автобуса</t>
  </si>
  <si>
    <t>Оплата телефонного зв'язку</t>
  </si>
  <si>
    <t>абонплата</t>
  </si>
  <si>
    <t>оплата Інтернет</t>
  </si>
  <si>
    <t>міжміські розмови</t>
  </si>
  <si>
    <t>Пеерзарядка вогнегасників</t>
  </si>
  <si>
    <t>Обслуговування газової котельні</t>
  </si>
  <si>
    <t>Страхування дітей-сиріт</t>
  </si>
  <si>
    <t>Ремонт грозовідводів</t>
  </si>
  <si>
    <t>Обстеження димоходів, вентиляцій</t>
  </si>
  <si>
    <t>Курси на 1 місяць</t>
  </si>
  <si>
    <t>Курси на 2 тижні</t>
  </si>
  <si>
    <t>ціна</t>
  </si>
  <si>
    <t>Оплата електроенергії</t>
  </si>
  <si>
    <t>кВтгод</t>
  </si>
  <si>
    <t>Вуггілля</t>
  </si>
  <si>
    <t>Дрова</t>
  </si>
  <si>
    <t>Доставка дров</t>
  </si>
  <si>
    <t>Виплати дітям-сиротам</t>
  </si>
  <si>
    <t>зміни</t>
  </si>
  <si>
    <t>Всього</t>
  </si>
  <si>
    <t>відра прості</t>
  </si>
  <si>
    <t>крани до умивальників</t>
  </si>
  <si>
    <t>розетеки, вимикачі</t>
  </si>
  <si>
    <t>світильники</t>
  </si>
  <si>
    <t>Печатка</t>
  </si>
  <si>
    <t>Виготовлення атестатів та свідоцтв</t>
  </si>
  <si>
    <t>Перевірка вимірювальних приладів</t>
  </si>
  <si>
    <t>Вивіз нечистот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</si>
  <si>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</si>
  <si>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</si>
  <si>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</si>
  <si>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</si>
  <si>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</si>
  <si>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</si>
  <si>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</si>
  <si>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</si>
  <si>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</si>
  <si>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</si>
  <si>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</si>
  <si>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</si>
  <si>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ВСЬОГО:</t>
  </si>
  <si>
    <t>лінолеум</t>
  </si>
  <si>
    <t>двері дерев'яні</t>
  </si>
  <si>
    <t>зошит</t>
  </si>
  <si>
    <t>ватман</t>
  </si>
  <si>
    <t>ресори</t>
  </si>
  <si>
    <t>пила циркулярна</t>
  </si>
  <si>
    <t xml:space="preserve">банок </t>
  </si>
  <si>
    <t>доски, штахети</t>
  </si>
  <si>
    <t>щебінь</t>
  </si>
  <si>
    <t>електродрель</t>
  </si>
  <si>
    <t>електром'ясорубка</t>
  </si>
  <si>
    <t>диферинційні вимикачі</t>
  </si>
  <si>
    <t>Встановлення пожежної сигналізації</t>
  </si>
  <si>
    <t>Виміри опору ізоляції</t>
  </si>
  <si>
    <t>Заправка картриджів</t>
  </si>
  <si>
    <t>Дератизація</t>
  </si>
  <si>
    <t>КЕКВ 2120 Нарахування на заробітну плату</t>
  </si>
  <si>
    <t>КЕКВ 2111 Заробітна плата</t>
  </si>
  <si>
    <t>КЕКВ 2210</t>
  </si>
  <si>
    <t>КЕКВ 2240</t>
  </si>
  <si>
    <t>Курси на 3 тижні</t>
  </si>
  <si>
    <t>Курси індивідуальні</t>
  </si>
  <si>
    <t>КЕКВ 2272</t>
  </si>
  <si>
    <t>КЕКВ 2273</t>
  </si>
  <si>
    <t>КЕКВ 2274</t>
  </si>
  <si>
    <t>КЕКВ 2275</t>
  </si>
  <si>
    <t>КЕКВ 3142 Реконструкція</t>
  </si>
  <si>
    <t>КЕКВ 3132 Капітальний ремонт</t>
  </si>
  <si>
    <t>КЕКВ 3122 Будівництво</t>
  </si>
  <si>
    <t>КЕКВ 3110 Придбання</t>
  </si>
  <si>
    <t>папка сегрегатор</t>
  </si>
  <si>
    <t>картридж</t>
  </si>
  <si>
    <t>книги канцелярські</t>
  </si>
  <si>
    <t>доводчик до дверей</t>
  </si>
  <si>
    <t>круг наждачний</t>
  </si>
  <si>
    <t>відро</t>
  </si>
  <si>
    <t>двері металеві</t>
  </si>
  <si>
    <t>стовпчик металевий</t>
  </si>
  <si>
    <t>унітаз</t>
  </si>
  <si>
    <t>умивальник</t>
  </si>
  <si>
    <t>сітка для огорожі</t>
  </si>
  <si>
    <t>пінопласт</t>
  </si>
  <si>
    <t>підвіконники до вікон металопластикових</t>
  </si>
  <si>
    <t>рубероїд</t>
  </si>
  <si>
    <t>сітка волейбольна, футбольна</t>
  </si>
  <si>
    <t>підключення до мережі Інтернет</t>
  </si>
  <si>
    <t>Атестація робочих місць</t>
  </si>
  <si>
    <t>Курси на 2 тижні  ДНЗ</t>
  </si>
  <si>
    <t>Курси 1 тиждень в Хмельницькому</t>
  </si>
  <si>
    <t>Оплата електроопалення</t>
  </si>
  <si>
    <t>КЕКВ 2250</t>
  </si>
  <si>
    <t>Всього:</t>
  </si>
  <si>
    <t>ремені</t>
  </si>
  <si>
    <t>Реєстрація автобуса</t>
  </si>
  <si>
    <t>КЕКВ 2271</t>
  </si>
  <si>
    <t>електрокомфорки</t>
  </si>
  <si>
    <t>КЕКВ 2730</t>
  </si>
  <si>
    <t>Ремонт комп'ютера</t>
  </si>
  <si>
    <t>місцевий бюджет</t>
  </si>
  <si>
    <t>фільтри паливні</t>
  </si>
  <si>
    <t xml:space="preserve">книги   </t>
  </si>
  <si>
    <t>відро емальоване</t>
  </si>
  <si>
    <t>інвентар у майстерні</t>
  </si>
  <si>
    <t>матеріали для газових котелень</t>
  </si>
  <si>
    <t xml:space="preserve">тачка   </t>
  </si>
  <si>
    <t>лопати, граблі</t>
  </si>
  <si>
    <t>багети, плінтуси</t>
  </si>
  <si>
    <t>скловата</t>
  </si>
  <si>
    <t>профіль (рейки)</t>
  </si>
  <si>
    <t>секції з бетону</t>
  </si>
  <si>
    <t>бітум</t>
  </si>
  <si>
    <t>М'який інвентар     (немає нічого)</t>
  </si>
  <si>
    <t>полосмок</t>
  </si>
  <si>
    <t>Масло моторне</t>
  </si>
  <si>
    <t>Передрейсовий огляд</t>
  </si>
  <si>
    <t>Обслуговування пожежної сигналізації</t>
  </si>
  <si>
    <t>Ремонт електрообладнання та електропроводки</t>
  </si>
  <si>
    <t>ПОТОЧНІ РЕМОНТИ</t>
  </si>
  <si>
    <t>Змагання, олімпіади учнів</t>
  </si>
  <si>
    <t>гКал</t>
  </si>
  <si>
    <t>навчання по цивільній обороні</t>
  </si>
  <si>
    <t>щітки</t>
  </si>
  <si>
    <t>залишок</t>
  </si>
  <si>
    <t>лічильник для води</t>
  </si>
  <si>
    <t>гранітний відсів</t>
  </si>
  <si>
    <t>мийка                   (бак до станції )</t>
  </si>
  <si>
    <t>електролічильник</t>
  </si>
  <si>
    <t>КЕКВ 2800 Інші поточні видатки</t>
  </si>
  <si>
    <t xml:space="preserve">Проїзд на роботу </t>
  </si>
  <si>
    <t>освітня субвенція</t>
  </si>
  <si>
    <t>учні 1-4 класи</t>
  </si>
  <si>
    <t>учні АТО</t>
  </si>
  <si>
    <t>діти АТО ДНЗ</t>
  </si>
  <si>
    <t>діти з багатод сімей ДНЗ</t>
  </si>
  <si>
    <t>діти не пільгові категорії ДНЗ</t>
  </si>
  <si>
    <t>діти малозаб і сироди ДНЗ</t>
  </si>
  <si>
    <t>вогнегасники</t>
  </si>
  <si>
    <t>Зарплата пед працівників</t>
  </si>
  <si>
    <t>Зарплата тех працівників</t>
  </si>
  <si>
    <t>Зарплата ДНЗ</t>
  </si>
  <si>
    <t>Нарахування на зарплату пед працівників</t>
  </si>
  <si>
    <t>Нарахування на зарплату тех працівників</t>
  </si>
  <si>
    <t>Нарахування на зарплату ДНЗ</t>
  </si>
  <si>
    <t>Семінари</t>
  </si>
  <si>
    <t>Оплата теплопостачання Цвітоське НВО</t>
  </si>
  <si>
    <t>Оплата теплопостачання Улашанівський НВК</t>
  </si>
  <si>
    <t>Оплата природного газу ЗОШ</t>
  </si>
  <si>
    <t>Оплата природного газу ДНЗ</t>
  </si>
  <si>
    <t>КЕКВ 2282 Окремі заходи по реалізації державних програм</t>
  </si>
  <si>
    <t>лабораторне обладнання для кабінету біології</t>
  </si>
  <si>
    <t xml:space="preserve">станки </t>
  </si>
  <si>
    <t>НУШ   комп'ютерне обладнання</t>
  </si>
  <si>
    <t>НУШ   меблі</t>
  </si>
  <si>
    <t>Курси НУШ</t>
  </si>
  <si>
    <t>жалюзі</t>
  </si>
  <si>
    <t xml:space="preserve">Оргтехніка, комп'ютери, мультимедійнеобладнання </t>
  </si>
  <si>
    <t>ламінат</t>
  </si>
  <si>
    <t>Технічне обслуговування газових котелень</t>
  </si>
  <si>
    <t>Комплект дидактичного матеріалу</t>
  </si>
  <si>
    <t>конфорки до електроплит</t>
  </si>
  <si>
    <t>плита ОСБ</t>
  </si>
  <si>
    <t>Інклюзія</t>
  </si>
  <si>
    <t>Нарахування на інклюзію</t>
  </si>
  <si>
    <t>пєчка в салон</t>
  </si>
  <si>
    <t>На інклюзію ЗОШ</t>
  </si>
  <si>
    <t xml:space="preserve">Доставка матеріалів для ремонту </t>
  </si>
  <si>
    <t>столи роздаткові</t>
  </si>
  <si>
    <t>Оплата реактивної енергії</t>
  </si>
  <si>
    <t>Підключення газових котеленьт</t>
  </si>
  <si>
    <t>Облаштування котельні зас дистанційної перед даних</t>
  </si>
  <si>
    <t>кабель з пристроєм гальмівної розв'язки</t>
  </si>
  <si>
    <t>ліжка дитячі</t>
  </si>
  <si>
    <t>болгарка</t>
  </si>
  <si>
    <t>Поточний ремонт</t>
  </si>
  <si>
    <t>Медогляд працівників</t>
  </si>
  <si>
    <t>модем (до газового лічильника)</t>
  </si>
  <si>
    <t>лічильник газовий</t>
  </si>
  <si>
    <t>стеля підвісна</t>
  </si>
  <si>
    <t>Проведення лабораторних досліджень</t>
  </si>
  <si>
    <t>хрестовина</t>
  </si>
  <si>
    <t>наматрасник</t>
  </si>
  <si>
    <t>рульові наконечники поперечної тяги</t>
  </si>
  <si>
    <t>літол, тосол</t>
  </si>
  <si>
    <t>паливна з форсунками</t>
  </si>
  <si>
    <t>датчик імпульсу</t>
  </si>
  <si>
    <t>щітки, валіки</t>
  </si>
  <si>
    <t>арматура до унітазів</t>
  </si>
  <si>
    <t>фанера в майстерню</t>
  </si>
  <si>
    <t>гвинтівка пневматична</t>
  </si>
  <si>
    <t>мікшерний пульт</t>
  </si>
  <si>
    <t>токарний верстат (станок) по дереву</t>
  </si>
  <si>
    <t>Тонометр</t>
  </si>
  <si>
    <t>Біологічні та хімічні дослідження води</t>
  </si>
  <si>
    <t>ОБСЛУГОВУВАННЯ ЕЛЕКТРОГОСПОДАРСТВА</t>
  </si>
  <si>
    <t>підвісна стеля</t>
  </si>
  <si>
    <t>підложка</t>
  </si>
  <si>
    <t>комплект пуфів</t>
  </si>
  <si>
    <t>стільці</t>
  </si>
  <si>
    <t>столи</t>
  </si>
  <si>
    <t>Розподіл природного газу</t>
  </si>
  <si>
    <t>колодки</t>
  </si>
  <si>
    <t>НУШ   засоби навчання та обладнання (крім комп)</t>
  </si>
  <si>
    <t>Додатково осв субвенція квітень</t>
  </si>
  <si>
    <t>доступ до ЄДЕБО</t>
  </si>
  <si>
    <t>трансформатор струму</t>
  </si>
  <si>
    <t xml:space="preserve">Оплата водопостачання </t>
  </si>
  <si>
    <t>антисептик</t>
  </si>
  <si>
    <t xml:space="preserve">мийки   </t>
  </si>
  <si>
    <t>насос</t>
  </si>
  <si>
    <t>рукавиці для персоналу</t>
  </si>
  <si>
    <t>маски багаторазові</t>
  </si>
  <si>
    <t>бланідас</t>
  </si>
  <si>
    <t>Ремонт електродвигуна</t>
  </si>
  <si>
    <t>акумулятори</t>
  </si>
  <si>
    <t>СПЕЦРАХУНОК</t>
  </si>
  <si>
    <t>Цвітоський ліцей</t>
  </si>
  <si>
    <t>м'який модульний конструктор</t>
  </si>
  <si>
    <t>Юридичний супровід</t>
  </si>
  <si>
    <t>стійка для волейболу</t>
  </si>
  <si>
    <t>гімнастичний килимок</t>
  </si>
  <si>
    <t>л</t>
  </si>
  <si>
    <t>Розрахунок по КЕКВ на 2021 рік</t>
  </si>
  <si>
    <t>М/Б + дотація</t>
  </si>
  <si>
    <t>Д/Б,  О/Б</t>
  </si>
  <si>
    <r>
      <t xml:space="preserve">ООП </t>
    </r>
    <r>
      <rPr>
        <sz val="9"/>
        <rFont val="Arial Cyr"/>
        <family val="0"/>
      </rPr>
      <t>(інклюзія)</t>
    </r>
  </si>
  <si>
    <t>чашки Петрі</t>
  </si>
  <si>
    <t>мікроскоп</t>
  </si>
  <si>
    <t>мікропрепарати для біології</t>
  </si>
  <si>
    <t>динамометр</t>
  </si>
  <si>
    <t>склянка демонстраційна</t>
  </si>
  <si>
    <t>лабораторні ваги</t>
  </si>
  <si>
    <t>мензурки</t>
  </si>
  <si>
    <t>літрів</t>
  </si>
  <si>
    <t xml:space="preserve">антисептик </t>
  </si>
  <si>
    <t xml:space="preserve">ДЕЗ ЗАСОБИ СУБВЕНЦІЯ НУШ </t>
  </si>
  <si>
    <t>ДЕЗ ЗАСОБИ СУБВЕНЦІЯ НУШ</t>
  </si>
  <si>
    <t xml:space="preserve">Таблиці </t>
  </si>
  <si>
    <t>краска штемпельна</t>
  </si>
  <si>
    <t>кушетка</t>
  </si>
  <si>
    <t>дитячий куточок</t>
  </si>
  <si>
    <t>селікогенний осушувач повітря</t>
  </si>
  <si>
    <t>ресорні втулки, пальці</t>
  </si>
  <si>
    <t>стрємянка</t>
  </si>
  <si>
    <t>шланг для опалювання салону</t>
  </si>
  <si>
    <t>радіатор</t>
  </si>
  <si>
    <t>гідропідсилювач керма</t>
  </si>
  <si>
    <t>наконечник попередньої тяги</t>
  </si>
  <si>
    <t>продольна тяга</t>
  </si>
  <si>
    <t>бендекс стартера</t>
  </si>
  <si>
    <t>КПК 011 1200</t>
  </si>
  <si>
    <t>КПК 011 1031</t>
  </si>
  <si>
    <t>КПК 011 1021</t>
  </si>
  <si>
    <t>КПК 011 1041  Залишки ОС</t>
  </si>
  <si>
    <t>КПК 011 1082     НУШ  Д/Б</t>
  </si>
  <si>
    <t>КПК 011 1081     НУШ  М/Б</t>
  </si>
  <si>
    <t>дог</t>
  </si>
  <si>
    <t>КПК 011 1200  ООП інклюзія</t>
  </si>
  <si>
    <t>КПК 011 1031 осв субв</t>
  </si>
  <si>
    <t>КПК 011 1021  М/Б</t>
  </si>
  <si>
    <t>КПК 011 1081                НУШ  М/Б</t>
  </si>
  <si>
    <t>КПК 011 1082                 НУШ  Д/Б</t>
  </si>
  <si>
    <t>освітня субв</t>
  </si>
  <si>
    <t>М/Б</t>
  </si>
  <si>
    <t>Виготовлення інвентарної спарви на будівлі</t>
  </si>
  <si>
    <t>крани до системи опалення</t>
  </si>
  <si>
    <t>Нарахування на додаткову осв субв</t>
  </si>
  <si>
    <t>ланцюги ковзання</t>
  </si>
  <si>
    <t>груша до бачка</t>
  </si>
  <si>
    <t>Інвентар (молоток, набір викруток, лопата, набір ключів, щітки) Улашанівка</t>
  </si>
  <si>
    <t>стіл учнівський одномісний</t>
  </si>
  <si>
    <t>стілець учнівський</t>
  </si>
  <si>
    <t>принтери</t>
  </si>
  <si>
    <t>холодильник</t>
  </si>
  <si>
    <t>комп'ютери</t>
  </si>
  <si>
    <t>На інклюзію ДНЗ</t>
  </si>
  <si>
    <t>Роботи з розробки ПКД по об'єкут "Кап ремонт приміщень будівлі їдальні по вул. Центральна, 1 в с. Губельці (розділ: Архітектурно-будівельні рішення)</t>
  </si>
  <si>
    <t>Капітальний ремонт з технаглядом Губелецького НВК (утеплення зовнішніх стін) з 2019 року</t>
  </si>
  <si>
    <t>Виготовлення ПКД на капітальний ремонт Перемишельської гімназії Улашанівської сільської ради</t>
  </si>
  <si>
    <t>Експертиза ПКД на капітальний ремонт Перемишельської гімназії Улашанівської сільської ради</t>
  </si>
  <si>
    <t>черпак</t>
  </si>
  <si>
    <t>каструля</t>
  </si>
  <si>
    <t>кришки до парт</t>
  </si>
  <si>
    <t>кріплення</t>
  </si>
  <si>
    <t>стелажі металеві для посуду</t>
  </si>
  <si>
    <t>дошка класна</t>
  </si>
  <si>
    <t>ростомір</t>
  </si>
  <si>
    <t>Поточний ремонт з гідрохімічним очищенням системи опалення будівлі Улашанівського ліцею</t>
  </si>
  <si>
    <t>Поточний ремонт з гідрохімічним очищенням системи опалення будівлі Цвітоського ліцею</t>
  </si>
  <si>
    <t>ПКД на монтаж системи автоматичної пож сигналізації та системи оповіщення при пожежі</t>
  </si>
  <si>
    <t>Технічне обстеження будівлі їдальні Перемишельської гімназії</t>
  </si>
  <si>
    <t>водоемульсія для фарб зовнішніх стін</t>
  </si>
  <si>
    <t>стрем'янка (співфінансування)</t>
  </si>
  <si>
    <t>Повернення</t>
  </si>
  <si>
    <t>насіння (Хоровець)</t>
  </si>
  <si>
    <t>добриво (Хоровець),</t>
  </si>
  <si>
    <t>поповнення бібліотечного фонду (книги друковані) (Цвітоха)</t>
  </si>
  <si>
    <t>цвяхи</t>
  </si>
  <si>
    <t>саморізи</t>
  </si>
  <si>
    <t>КПК 011 1210</t>
  </si>
  <si>
    <t>електроплита</t>
  </si>
  <si>
    <t>Вигот овлення енергетичного сертифікату будівлі</t>
  </si>
  <si>
    <t>зонт витяжний</t>
  </si>
  <si>
    <t xml:space="preserve">шприц </t>
  </si>
  <si>
    <t>Інклюзія  КПК 011 1210  (ДОДАТКОВО)</t>
  </si>
  <si>
    <t xml:space="preserve">Нарахування на інклюзію   КПК 011 1210 </t>
  </si>
  <si>
    <t>КПК 011 1210  ООП інклюзія</t>
  </si>
  <si>
    <t>На інклюзію ЗОШ   КПК 011 1210</t>
  </si>
  <si>
    <t>На інклюзію ДНЗ       КПК 011 1210</t>
  </si>
  <si>
    <t>меблі у лінгафонний кабінет (стіл - 19 шт, стілець учнів - 19 шт, стіл вчитьеля - 1 шт, стілець вчителя - 1 шт)</t>
  </si>
  <si>
    <t>матеріали для ремонту (амстронг)</t>
  </si>
  <si>
    <t>фотопапір</t>
  </si>
  <si>
    <t>Капітальний ремонт Перемишельської гімназії Улашанівської сільської ради</t>
  </si>
  <si>
    <t>cтартер</t>
  </si>
  <si>
    <t>амортизатор</t>
  </si>
  <si>
    <t>термостат</t>
  </si>
  <si>
    <t>мотор обігріву салону</t>
  </si>
  <si>
    <t>Мотокоса FS-43 Foresta</t>
  </si>
  <si>
    <t>Поточний ремонт кабінету Улашанівського ліцею</t>
  </si>
  <si>
    <t>Котел твердопаливний</t>
  </si>
  <si>
    <t>парти + стільці ДЛЯ 1 КЛАСУ</t>
  </si>
  <si>
    <t>миска нержавіюча</t>
  </si>
  <si>
    <t>тарілка</t>
  </si>
  <si>
    <t>дошка розділочна</t>
  </si>
  <si>
    <t>кувшин для чаю</t>
  </si>
  <si>
    <t>тертка</t>
  </si>
  <si>
    <t>вилки, ложки</t>
  </si>
  <si>
    <t>ножі</t>
  </si>
  <si>
    <t>сковорода</t>
  </si>
  <si>
    <t>Технагляд за роботами капітальний ремонт Перемишельської гімназії Улашанівської сільської ради</t>
  </si>
  <si>
    <t>Авторський нагляд за роботами капітальний ремонт Перемишельської гімназії Улашанівської сільської ради</t>
  </si>
  <si>
    <t>матеріали для ремонту (труба, кран, сифон) Улашанівка</t>
  </si>
  <si>
    <t>інструменти (викрутки, окуляри захисні, запчастини до коси, ножиці, підшипники) Улашанівка</t>
  </si>
  <si>
    <t>провід та розетки Улашанівка</t>
  </si>
  <si>
    <t>трубка турбіни подачі масла в комплекті</t>
  </si>
  <si>
    <t>кришка теплообмінника</t>
  </si>
  <si>
    <t>замок запалення</t>
  </si>
  <si>
    <t>клапан</t>
  </si>
  <si>
    <t>глушник</t>
  </si>
  <si>
    <t>насос водяний</t>
  </si>
  <si>
    <t>палець стабілізатора</t>
  </si>
  <si>
    <t>підшипник</t>
  </si>
  <si>
    <t>порівняння</t>
  </si>
  <si>
    <t>Техобстеження (техогляд)</t>
  </si>
  <si>
    <t>Технічне обслуговування автобусів</t>
  </si>
  <si>
    <t>Поточний ремонт лінгафонного кабінету Улашанівського ліцею</t>
  </si>
  <si>
    <t>Встановлення твердопаливних котлів У ДНЗ Миньковецького ліцею</t>
  </si>
  <si>
    <t>Поточний ремонт локальних електричних мереж Улашанівського ліцею</t>
  </si>
  <si>
    <t>Вогнезахисне оброблення дерев'яних конструкцій горищного приміщення Хоровецького ліцею</t>
  </si>
  <si>
    <t>Електроплита Миньковецький ліцей</t>
  </si>
  <si>
    <t>Пекарська шафа Улашанівський ліцей</t>
  </si>
  <si>
    <t>К-т обладнання для оснащення кабінету фізики Миньковецький ліцей</t>
  </si>
  <si>
    <t>К-т обладнання для оснащення кабінету географії Цвітоський ліцей</t>
  </si>
  <si>
    <t>К-т обладнання для оснащення кабінету хімії Хоровецький ліцей</t>
  </si>
  <si>
    <t>К-т обладнання для оснащення кабінету математики Цвітоський ліцей</t>
  </si>
  <si>
    <t>К-т обладнання для оснащення лінгафонного кабінету Улашанівський ліцей</t>
  </si>
  <si>
    <t>Жарочна шафа Цвітоський ліцей</t>
  </si>
  <si>
    <t>Сезонне обслуговування газопроводів</t>
  </si>
  <si>
    <t>накопичувач</t>
  </si>
  <si>
    <t>жарочна шафа</t>
  </si>
  <si>
    <r>
      <t>сітка загороджувальна, м</t>
    </r>
    <r>
      <rPr>
        <sz val="10"/>
        <rFont val="Arial"/>
        <family val="2"/>
      </rPr>
      <t>²</t>
    </r>
  </si>
  <si>
    <t>бензопила</t>
  </si>
  <si>
    <t>шашки, шахмати</t>
  </si>
  <si>
    <t>ракетки тенісні</t>
  </si>
  <si>
    <t>сітка тенісна</t>
  </si>
  <si>
    <t>м'яч для великого тенісу</t>
  </si>
  <si>
    <t>тенісні шарики</t>
  </si>
  <si>
    <t>бадмінтон</t>
  </si>
  <si>
    <t>флянець кардана + хрестовина</t>
  </si>
  <si>
    <t>болт карданного вала</t>
  </si>
  <si>
    <t xml:space="preserve">Експертиза кошторисної частини робочого проекту "Кап ремонт приміщень будівлі їдальні по вул. Центральна, 1 в с. Губельці </t>
  </si>
  <si>
    <t>Капітальний ремонт топочної Миньковецького ліцею</t>
  </si>
  <si>
    <t>Вогнезахисне оброблення засобами вогнезахисту дерев'яних елементів горищного покриття Миньковецького ліцею</t>
  </si>
  <si>
    <t>навчання з пожежної безпеки</t>
  </si>
  <si>
    <t>редукці</t>
  </si>
  <si>
    <t>фільтр води</t>
  </si>
  <si>
    <t>защита тримера (до коси)</t>
  </si>
  <si>
    <t>Поточний ремонт локальних електричних мереж Хоровецького ліцею</t>
  </si>
  <si>
    <t>ізлив до крана Перемишель</t>
  </si>
  <si>
    <t>Книги друковані Улашанівка</t>
  </si>
  <si>
    <t>лампа LED труба Хоровець</t>
  </si>
  <si>
    <t>шкільні дошки Перемишель</t>
  </si>
  <si>
    <t>перемотка електродвигуна Хоровець</t>
  </si>
  <si>
    <t>Технічний звіт з обстеження будівлі їдальні за адр. Вул. Центральна, 1 в с. Губельці Слав р-ну Хмельн обл</t>
  </si>
  <si>
    <t>ПКД Капітальний ремонт топочної Миньковецького ліцею</t>
  </si>
  <si>
    <t>Повернення теплопостачання Цвітоське НВО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</si>
</sst>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i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u val="single"/>
      <sz val="13"/>
      <name val="Arial Cyr"/>
      <family val="0"/>
    </font>
    <font>
      <sz val="12"/>
      <name val="Arial Cyr"/>
      <family val="0"/>
    </font>
    <font>
      <b/>
      <i/>
      <sz val="8"/>
      <name val="Arial Cyr"/>
      <family val="0"/>
    </font>
    <font>
      <u val="single"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  <xf numFmtId="0" fontId="0" fillId="5" borderId="0" xfId="0" applyFill="1" applyAlignment="1">
      <alignment/>
    </xf>
    <xf numFmtId="0" fontId="11" fillId="5" borderId="0" xfId="0" applyFont="1" applyFill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6" fillId="24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11" fillId="5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0" fillId="5" borderId="0" xfId="0" applyNumberFormat="1" applyFill="1" applyAlignment="1">
      <alignment/>
    </xf>
    <xf numFmtId="0" fontId="0" fillId="4" borderId="0" xfId="0" applyFill="1" applyAlignment="1">
      <alignment/>
    </xf>
    <xf numFmtId="0" fontId="5" fillId="22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22" borderId="0" xfId="0" applyFill="1" applyAlignment="1">
      <alignment/>
    </xf>
    <xf numFmtId="0" fontId="1" fillId="4" borderId="0" xfId="0" applyFont="1" applyFill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6" fillId="22" borderId="0" xfId="0" applyFont="1" applyFill="1" applyAlignment="1">
      <alignment/>
    </xf>
    <xf numFmtId="0" fontId="7" fillId="22" borderId="0" xfId="0" applyFont="1" applyFill="1" applyAlignment="1">
      <alignment/>
    </xf>
    <xf numFmtId="0" fontId="4" fillId="22" borderId="0" xfId="0" applyFont="1" applyFill="1" applyAlignment="1">
      <alignment/>
    </xf>
    <xf numFmtId="0" fontId="4" fillId="22" borderId="0" xfId="0" applyFont="1" applyFill="1" applyAlignment="1">
      <alignment/>
    </xf>
    <xf numFmtId="0" fontId="5" fillId="22" borderId="0" xfId="0" applyFont="1" applyFill="1" applyAlignment="1">
      <alignment horizontal="left"/>
    </xf>
    <xf numFmtId="0" fontId="5" fillId="22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24" borderId="0" xfId="0" applyFont="1" applyFill="1" applyAlignment="1">
      <alignment/>
    </xf>
    <xf numFmtId="0" fontId="11" fillId="25" borderId="0" xfId="0" applyFont="1" applyFill="1" applyAlignment="1">
      <alignment/>
    </xf>
    <xf numFmtId="0" fontId="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5" fillId="5" borderId="0" xfId="0" applyFont="1" applyFill="1" applyAlignment="1">
      <alignment/>
    </xf>
    <xf numFmtId="0" fontId="0" fillId="7" borderId="0" xfId="0" applyFill="1" applyAlignment="1">
      <alignment/>
    </xf>
    <xf numFmtId="0" fontId="0" fillId="5" borderId="0" xfId="0" applyFont="1" applyFill="1" applyAlignment="1">
      <alignment/>
    </xf>
    <xf numFmtId="3" fontId="2" fillId="4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0" fontId="0" fillId="4" borderId="0" xfId="0" applyFill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wrapText="1"/>
    </xf>
    <xf numFmtId="0" fontId="6" fillId="4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17" fillId="5" borderId="0" xfId="0" applyFont="1" applyFill="1" applyAlignment="1">
      <alignment/>
    </xf>
    <xf numFmtId="0" fontId="18" fillId="0" borderId="0" xfId="0" applyFont="1" applyAlignment="1">
      <alignment/>
    </xf>
    <xf numFmtId="0" fontId="3" fillId="5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0" fontId="0" fillId="7" borderId="0" xfId="0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Alignment="1">
      <alignment/>
    </xf>
    <xf numFmtId="0" fontId="0" fillId="22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6" fillId="0" borderId="0" xfId="0" applyNumberFormat="1" applyFont="1" applyFill="1" applyAlignment="1">
      <alignment wrapText="1"/>
    </xf>
    <xf numFmtId="0" fontId="6" fillId="24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3" fillId="5" borderId="0" xfId="0" applyFont="1" applyFill="1" applyAlignment="1">
      <alignment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6" fillId="0" borderId="0" xfId="0" applyFont="1" applyFill="1" applyAlignment="1">
      <alignment wrapText="1"/>
    </xf>
    <xf numFmtId="0" fontId="36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11" fillId="0" borderId="0" xfId="0" applyFont="1" applyAlignment="1">
      <alignment horizontal="left" wrapText="1"/>
    </xf>
    <xf numFmtId="4" fontId="1" fillId="0" borderId="0" xfId="0" applyNumberFormat="1" applyFont="1" applyFill="1" applyAlignment="1">
      <alignment/>
    </xf>
    <xf numFmtId="0" fontId="3" fillId="0" borderId="0" xfId="0" applyFont="1" applyAlignment="1">
      <alignment wrapText="1"/>
    </xf>
    <xf numFmtId="0" fontId="2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7" borderId="0" xfId="0" applyFont="1" applyFill="1" applyAlignment="1">
      <alignment/>
    </xf>
    <xf numFmtId="0" fontId="6" fillId="7" borderId="0" xfId="0" applyFont="1" applyFill="1" applyAlignment="1">
      <alignment horizontal="left" wrapText="1"/>
    </xf>
    <xf numFmtId="0" fontId="5" fillId="22" borderId="0" xfId="0" applyFont="1" applyFill="1" applyAlignment="1">
      <alignment horizontal="center"/>
    </xf>
    <xf numFmtId="2" fontId="11" fillId="5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7" borderId="0" xfId="0" applyFont="1" applyFill="1" applyAlignment="1">
      <alignment/>
    </xf>
    <xf numFmtId="2" fontId="5" fillId="7" borderId="0" xfId="0" applyNumberFormat="1" applyFont="1" applyFill="1" applyAlignment="1">
      <alignment/>
    </xf>
    <xf numFmtId="0" fontId="6" fillId="7" borderId="0" xfId="0" applyFont="1" applyFill="1" applyAlignment="1">
      <alignment/>
    </xf>
    <xf numFmtId="3" fontId="6" fillId="7" borderId="0" xfId="0" applyNumberFormat="1" applyFont="1" applyFill="1" applyAlignment="1">
      <alignment/>
    </xf>
    <xf numFmtId="3" fontId="0" fillId="7" borderId="0" xfId="0" applyNumberFormat="1" applyFill="1" applyAlignment="1">
      <alignment/>
    </xf>
    <xf numFmtId="0" fontId="1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6" fillId="4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0" fillId="4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4" borderId="0" xfId="0" applyFont="1" applyFill="1" applyAlignment="1">
      <alignment wrapText="1"/>
    </xf>
    <xf numFmtId="3" fontId="5" fillId="0" borderId="0" xfId="0" applyNumberFormat="1" applyFont="1" applyAlignment="1">
      <alignment/>
    </xf>
    <xf numFmtId="0" fontId="5" fillId="7" borderId="0" xfId="0" applyFont="1" applyFill="1" applyAlignment="1">
      <alignment horizontal="left" wrapText="1"/>
    </xf>
    <xf numFmtId="0" fontId="5" fillId="7" borderId="0" xfId="0" applyFont="1" applyFill="1" applyAlignment="1">
      <alignment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7" fillId="4" borderId="0" xfId="0" applyFont="1" applyFill="1" applyAlignment="1">
      <alignment horizontal="center" textRotation="90" wrapText="1"/>
    </xf>
    <xf numFmtId="0" fontId="17" fillId="0" borderId="10" xfId="0" applyFont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7" fillId="24" borderId="0" xfId="0" applyFont="1" applyFill="1" applyAlignment="1">
      <alignment horizontal="center" textRotation="90" wrapText="1"/>
    </xf>
    <xf numFmtId="0" fontId="0" fillId="7" borderId="0" xfId="0" applyFill="1" applyAlignment="1">
      <alignment horizontal="center" wrapText="1"/>
    </xf>
    <xf numFmtId="0" fontId="0" fillId="7" borderId="0" xfId="0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102;&#1076;&#1078;&#1077;&#1090;-2021\&#1056;&#1086;&#1079;&#1096;&#1080;&#1092;&#1088;%20&#1047;&#1047;&#1057;&#1054;%2015.12.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уків"/>
      <sheetName val="Миньківці"/>
      <sheetName val="Улашанівка"/>
      <sheetName val="Хоровець"/>
      <sheetName val="Цвітоха"/>
      <sheetName val="Губельці"/>
      <sheetName val="Іванівка"/>
      <sheetName val="Перемишель"/>
      <sheetName val="ЗВЕДЕНА"/>
      <sheetName val="до звіту шкіл"/>
      <sheetName val="на 1 учня касові"/>
      <sheetName val="на 1 учня план"/>
      <sheetName val="КПК 1200 по ЗЗСО"/>
      <sheetName val="вибране"/>
      <sheetName val="Програми"/>
      <sheetName val="Залишки ОС"/>
      <sheetName val="НУШ по ЗЗСО"/>
      <sheetName val="Зведена по ЗЗСО"/>
      <sheetName val="аудит"/>
      <sheetName val="спец 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35"/>
  </sheetPr>
  <dimension ref="A1:CE496"/>
  <sheetViews>
    <sheetView tabSelected="1" zoomScalePageLayoutView="0" workbookViewId="0" topLeftCell="A1">
      <pane xSplit="2" ySplit="10" topLeftCell="AH44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3" sqref="B3"/>
    </sheetView>
  </sheetViews>
  <sheetFormatPr defaultColWidth="9.00390625" defaultRowHeight="12.75"/>
  <cols>
    <col min="1" max="1" width="4.625" style="0" customWidth="1"/>
    <col min="2" max="2" width="39.875" style="40" customWidth="1"/>
    <col min="3" max="3" width="7.00390625" style="0" bestFit="1" customWidth="1"/>
    <col min="4" max="4" width="8.375" style="0" bestFit="1" customWidth="1"/>
    <col min="5" max="5" width="13.25390625" style="0" customWidth="1"/>
    <col min="6" max="6" width="12.75390625" style="0" customWidth="1"/>
    <col min="7" max="7" width="13.875" style="0" customWidth="1"/>
    <col min="8" max="9" width="12.75390625" style="0" bestFit="1" customWidth="1"/>
    <col min="10" max="10" width="10.75390625" style="0" customWidth="1"/>
    <col min="11" max="11" width="12.00390625" style="0" customWidth="1"/>
    <col min="12" max="12" width="12.625" style="0" customWidth="1"/>
    <col min="13" max="13" width="13.00390625" style="0" customWidth="1"/>
    <col min="14" max="14" width="9.375" style="0" customWidth="1"/>
    <col min="15" max="15" width="13.125" style="0" customWidth="1"/>
    <col min="16" max="16" width="11.625" style="19" customWidth="1"/>
    <col min="18" max="18" width="13.125" style="0" bestFit="1" customWidth="1"/>
    <col min="19" max="19" width="9.25390625" style="0" customWidth="1"/>
    <col min="20" max="20" width="11.625" style="0" bestFit="1" customWidth="1"/>
    <col min="21" max="21" width="9.375" style="0" customWidth="1"/>
    <col min="22" max="22" width="13.00390625" style="0" customWidth="1"/>
    <col min="24" max="24" width="12.25390625" style="0" customWidth="1"/>
    <col min="26" max="26" width="12.00390625" style="0" customWidth="1"/>
    <col min="28" max="28" width="10.00390625" style="0" customWidth="1"/>
    <col min="30" max="30" width="16.00390625" style="0" customWidth="1"/>
    <col min="31" max="31" width="8.875" style="0" customWidth="1"/>
    <col min="32" max="32" width="10.75390625" style="0" customWidth="1"/>
    <col min="33" max="33" width="8.00390625" style="0" customWidth="1"/>
    <col min="34" max="34" width="10.875" style="0" customWidth="1"/>
    <col min="35" max="35" width="6.875" style="0" customWidth="1"/>
    <col min="36" max="36" width="13.00390625" style="0" customWidth="1"/>
    <col min="37" max="37" width="7.75390625" style="0" customWidth="1"/>
    <col min="38" max="38" width="12.125" style="0" customWidth="1"/>
    <col min="39" max="39" width="9.75390625" style="0" customWidth="1"/>
    <col min="40" max="40" width="12.75390625" style="0" customWidth="1"/>
    <col min="41" max="41" width="13.125" style="0" bestFit="1" customWidth="1"/>
    <col min="42" max="42" width="14.125" style="0" customWidth="1"/>
    <col min="43" max="43" width="10.25390625" style="0" bestFit="1" customWidth="1"/>
    <col min="44" max="44" width="11.75390625" style="0" customWidth="1"/>
    <col min="45" max="45" width="14.25390625" style="0" customWidth="1"/>
    <col min="47" max="47" width="11.125" style="0" customWidth="1"/>
    <col min="48" max="48" width="13.375" style="0" customWidth="1"/>
    <col min="49" max="49" width="6.375" style="0" bestFit="1" customWidth="1"/>
    <col min="50" max="50" width="13.375" style="0" customWidth="1"/>
    <col min="51" max="51" width="7.625" style="0" customWidth="1"/>
    <col min="52" max="52" width="10.375" style="0" customWidth="1"/>
    <col min="53" max="53" width="6.375" style="0" bestFit="1" customWidth="1"/>
    <col min="54" max="54" width="12.75390625" style="0" customWidth="1"/>
    <col min="55" max="55" width="10.00390625" style="0" customWidth="1"/>
    <col min="56" max="56" width="12.875" style="71" bestFit="1" customWidth="1"/>
    <col min="58" max="58" width="10.875" style="0" bestFit="1" customWidth="1"/>
    <col min="63" max="63" width="13.125" style="0" bestFit="1" customWidth="1"/>
    <col min="64" max="64" width="13.00390625" style="0" customWidth="1"/>
    <col min="65" max="66" width="12.125" style="0" customWidth="1"/>
  </cols>
  <sheetData>
    <row r="1" spans="2:64" ht="34.5" customHeight="1">
      <c r="B1" s="40" t="s">
        <v>299</v>
      </c>
      <c r="E1" s="49" t="s">
        <v>327</v>
      </c>
      <c r="F1" s="49" t="s">
        <v>376</v>
      </c>
      <c r="G1" s="49" t="s">
        <v>328</v>
      </c>
      <c r="H1" s="49" t="s">
        <v>329</v>
      </c>
      <c r="I1" s="49" t="s">
        <v>329</v>
      </c>
      <c r="J1" s="126" t="s">
        <v>95</v>
      </c>
      <c r="K1" s="127"/>
      <c r="L1" s="127"/>
      <c r="M1" s="127"/>
      <c r="N1" s="127"/>
      <c r="Q1" s="120" t="s">
        <v>105</v>
      </c>
      <c r="R1" s="120"/>
      <c r="S1" s="120" t="s">
        <v>106</v>
      </c>
      <c r="T1" s="120"/>
      <c r="U1" s="120" t="s">
        <v>107</v>
      </c>
      <c r="V1" s="120"/>
      <c r="W1" s="120" t="s">
        <v>108</v>
      </c>
      <c r="X1" s="120"/>
      <c r="Y1" s="120" t="s">
        <v>109</v>
      </c>
      <c r="Z1" s="120"/>
      <c r="AA1" s="120" t="s">
        <v>110</v>
      </c>
      <c r="AB1" s="120"/>
      <c r="AC1" s="120" t="s">
        <v>111</v>
      </c>
      <c r="AD1" s="120"/>
      <c r="AE1" s="120" t="s">
        <v>112</v>
      </c>
      <c r="AF1" s="120"/>
      <c r="AG1" s="120" t="s">
        <v>113</v>
      </c>
      <c r="AH1" s="120"/>
      <c r="AI1" s="120" t="s">
        <v>114</v>
      </c>
      <c r="AJ1" s="120"/>
      <c r="AK1" s="120" t="s">
        <v>115</v>
      </c>
      <c r="AL1" s="120"/>
      <c r="AM1" s="120" t="s">
        <v>116</v>
      </c>
      <c r="AN1" s="120"/>
      <c r="AO1" s="120" t="s">
        <v>117</v>
      </c>
      <c r="AP1" s="120"/>
      <c r="AW1" s="123" t="s">
        <v>334</v>
      </c>
      <c r="AX1" s="124"/>
      <c r="AY1" s="123" t="s">
        <v>383</v>
      </c>
      <c r="AZ1" s="124"/>
      <c r="BA1" s="121" t="s">
        <v>335</v>
      </c>
      <c r="BB1" s="121"/>
      <c r="BC1" s="122" t="s">
        <v>336</v>
      </c>
      <c r="BD1" s="122"/>
      <c r="BE1" s="119" t="s">
        <v>330</v>
      </c>
      <c r="BF1" s="116"/>
      <c r="BG1" s="116" t="s">
        <v>337</v>
      </c>
      <c r="BH1" s="116"/>
      <c r="BI1" s="116" t="s">
        <v>338</v>
      </c>
      <c r="BJ1" s="117"/>
      <c r="BK1" s="116" t="s">
        <v>117</v>
      </c>
      <c r="BL1" s="117"/>
    </row>
    <row r="2" spans="1:68" ht="36.75">
      <c r="A2" s="12"/>
      <c r="B2" s="77" t="s">
        <v>293</v>
      </c>
      <c r="C2" s="12"/>
      <c r="D2" s="12"/>
      <c r="E2" s="41" t="s">
        <v>302</v>
      </c>
      <c r="F2" s="41" t="s">
        <v>302</v>
      </c>
      <c r="G2" s="41" t="s">
        <v>207</v>
      </c>
      <c r="H2" s="41" t="s">
        <v>300</v>
      </c>
      <c r="I2" s="41" t="s">
        <v>176</v>
      </c>
      <c r="J2" s="105" t="s">
        <v>176</v>
      </c>
      <c r="K2" s="105" t="s">
        <v>330</v>
      </c>
      <c r="L2" s="105" t="s">
        <v>332</v>
      </c>
      <c r="M2" s="105" t="s">
        <v>331</v>
      </c>
      <c r="N2" s="105" t="s">
        <v>301</v>
      </c>
      <c r="O2" s="12"/>
      <c r="P2" s="32"/>
      <c r="Q2" s="2" t="s">
        <v>3</v>
      </c>
      <c r="R2" s="2" t="s">
        <v>4</v>
      </c>
      <c r="S2" s="2" t="s">
        <v>3</v>
      </c>
      <c r="T2" s="2" t="s">
        <v>4</v>
      </c>
      <c r="U2" s="2" t="s">
        <v>3</v>
      </c>
      <c r="V2" s="2" t="s">
        <v>4</v>
      </c>
      <c r="W2" s="2" t="s">
        <v>3</v>
      </c>
      <c r="X2" s="2" t="s">
        <v>4</v>
      </c>
      <c r="Y2" s="2" t="s">
        <v>3</v>
      </c>
      <c r="Z2" s="2" t="s">
        <v>4</v>
      </c>
      <c r="AA2" s="2" t="s">
        <v>3</v>
      </c>
      <c r="AB2" s="2" t="s">
        <v>4</v>
      </c>
      <c r="AC2" s="2" t="s">
        <v>3</v>
      </c>
      <c r="AD2" s="2" t="s">
        <v>4</v>
      </c>
      <c r="AE2" s="2" t="s">
        <v>3</v>
      </c>
      <c r="AF2" s="2" t="s">
        <v>4</v>
      </c>
      <c r="AG2" s="2" t="s">
        <v>3</v>
      </c>
      <c r="AH2" s="2" t="s">
        <v>4</v>
      </c>
      <c r="AI2" s="2" t="s">
        <v>3</v>
      </c>
      <c r="AJ2" s="2" t="s">
        <v>4</v>
      </c>
      <c r="AK2" s="2" t="s">
        <v>3</v>
      </c>
      <c r="AL2" s="2" t="s">
        <v>4</v>
      </c>
      <c r="AM2" s="2" t="s">
        <v>3</v>
      </c>
      <c r="AN2" s="2" t="s">
        <v>4</v>
      </c>
      <c r="AO2" s="2" t="s">
        <v>3</v>
      </c>
      <c r="AP2" s="2" t="s">
        <v>4</v>
      </c>
      <c r="AQ2" s="12"/>
      <c r="AR2" s="12"/>
      <c r="AS2" s="12" t="s">
        <v>200</v>
      </c>
      <c r="AT2" s="12"/>
      <c r="AU2" s="53"/>
      <c r="AV2" s="53"/>
      <c r="AW2" s="106" t="s">
        <v>3</v>
      </c>
      <c r="AX2" s="106" t="s">
        <v>4</v>
      </c>
      <c r="AY2" s="106" t="s">
        <v>3</v>
      </c>
      <c r="AZ2" s="106" t="s">
        <v>4</v>
      </c>
      <c r="BA2" s="106" t="s">
        <v>3</v>
      </c>
      <c r="BB2" s="106" t="s">
        <v>4</v>
      </c>
      <c r="BC2" s="106" t="s">
        <v>3</v>
      </c>
      <c r="BD2" s="108" t="s">
        <v>4</v>
      </c>
      <c r="BE2" s="106" t="s">
        <v>3</v>
      </c>
      <c r="BF2" s="106" t="s">
        <v>4</v>
      </c>
      <c r="BG2" s="106" t="s">
        <v>3</v>
      </c>
      <c r="BH2" s="106" t="s">
        <v>4</v>
      </c>
      <c r="BI2" s="106" t="s">
        <v>3</v>
      </c>
      <c r="BJ2" s="106" t="s">
        <v>4</v>
      </c>
      <c r="BK2" s="106" t="s">
        <v>3</v>
      </c>
      <c r="BL2" s="106" t="s">
        <v>4</v>
      </c>
      <c r="BM2" s="12"/>
      <c r="BN2" s="12" t="s">
        <v>419</v>
      </c>
      <c r="BO2" s="12"/>
      <c r="BP2" s="12"/>
    </row>
    <row r="3" spans="1:68" ht="13.5" customHeight="1">
      <c r="A3" s="17"/>
      <c r="B3" s="78" t="s">
        <v>135</v>
      </c>
      <c r="C3" s="17" t="s">
        <v>4</v>
      </c>
      <c r="D3" s="17"/>
      <c r="E3" s="17">
        <f>SUM(E4:E10)</f>
        <v>18802</v>
      </c>
      <c r="F3" s="17">
        <f>SUM(F4:F10)</f>
        <v>4754</v>
      </c>
      <c r="G3" s="17">
        <f aca="true" t="shared" si="0" ref="G3:N3">SUM(G4:G10)</f>
        <v>4576225</v>
      </c>
      <c r="H3" s="17">
        <f t="shared" si="0"/>
        <v>837371</v>
      </c>
      <c r="I3" s="17">
        <f t="shared" si="0"/>
        <v>388637</v>
      </c>
      <c r="J3" s="17">
        <f t="shared" si="0"/>
        <v>0</v>
      </c>
      <c r="K3" s="17">
        <f t="shared" si="0"/>
        <v>0</v>
      </c>
      <c r="L3" s="17">
        <f t="shared" si="0"/>
        <v>0</v>
      </c>
      <c r="M3" s="17">
        <f t="shared" si="0"/>
        <v>0</v>
      </c>
      <c r="N3" s="17">
        <f t="shared" si="0"/>
        <v>0</v>
      </c>
      <c r="O3" s="16">
        <f aca="true" t="shared" si="1" ref="O3:O9">SUM(E3:N3)</f>
        <v>5825789</v>
      </c>
      <c r="Q3" s="17">
        <f aca="true" t="shared" si="2" ref="Q3:AC3">SUM(Q4:Q9)</f>
        <v>0</v>
      </c>
      <c r="R3" s="17">
        <f t="shared" si="2"/>
        <v>395929.25</v>
      </c>
      <c r="S3" s="17">
        <f t="shared" si="2"/>
        <v>0</v>
      </c>
      <c r="T3" s="17">
        <f t="shared" si="2"/>
        <v>419085.41000000003</v>
      </c>
      <c r="U3" s="17">
        <f t="shared" si="2"/>
        <v>0</v>
      </c>
      <c r="V3" s="17">
        <f t="shared" si="2"/>
        <v>396470.85000000003</v>
      </c>
      <c r="W3" s="17">
        <f t="shared" si="2"/>
        <v>0</v>
      </c>
      <c r="X3" s="17">
        <f t="shared" si="2"/>
        <v>420039.02</v>
      </c>
      <c r="Y3" s="17">
        <f t="shared" si="2"/>
        <v>0</v>
      </c>
      <c r="Z3" s="17">
        <f t="shared" si="2"/>
        <v>419461.47000000003</v>
      </c>
      <c r="AA3" s="17">
        <f t="shared" si="2"/>
        <v>0</v>
      </c>
      <c r="AB3" s="17">
        <f t="shared" si="2"/>
        <v>1223793.71</v>
      </c>
      <c r="AC3" s="17">
        <f t="shared" si="2"/>
        <v>0</v>
      </c>
      <c r="AD3" s="17">
        <f>SUM(AD4:AD9)</f>
        <v>40217.01</v>
      </c>
      <c r="AE3" s="17"/>
      <c r="AF3" s="17"/>
      <c r="AG3" s="17"/>
      <c r="AH3" s="17">
        <f>SUM(AH4:AH10)</f>
        <v>435066.07</v>
      </c>
      <c r="AI3" s="17">
        <f>SUM(AI4:AI10)</f>
        <v>0</v>
      </c>
      <c r="AJ3" s="17">
        <f>SUM(AJ4:AJ10)</f>
        <v>472777.77999999997</v>
      </c>
      <c r="AK3" s="17"/>
      <c r="AL3" s="17">
        <f>SUM(AL4:AL10)</f>
        <v>417577.32</v>
      </c>
      <c r="AM3" s="17"/>
      <c r="AN3" s="17">
        <f>SUM(AN4:AN10)</f>
        <v>643502.6599999999</v>
      </c>
      <c r="AO3" s="17"/>
      <c r="AP3" s="17">
        <f>SUM(AP4:AP10)</f>
        <v>5449957.88</v>
      </c>
      <c r="AQ3" s="17"/>
      <c r="AR3" s="17"/>
      <c r="AS3" s="17">
        <f>O3-AP3</f>
        <v>375831.1200000001</v>
      </c>
      <c r="AT3" s="17"/>
      <c r="AU3" s="17" t="s">
        <v>333</v>
      </c>
      <c r="AV3" s="17" t="s">
        <v>200</v>
      </c>
      <c r="AW3" s="17">
        <f aca="true" t="shared" si="3" ref="AW3:BK3">SUM(AW4:AW10)</f>
        <v>0</v>
      </c>
      <c r="AX3" s="17">
        <f t="shared" si="3"/>
        <v>1528.28</v>
      </c>
      <c r="AY3" s="17">
        <f t="shared" si="3"/>
        <v>0</v>
      </c>
      <c r="AZ3" s="17">
        <f t="shared" si="3"/>
        <v>0</v>
      </c>
      <c r="BA3" s="17">
        <f t="shared" si="3"/>
        <v>0</v>
      </c>
      <c r="BB3" s="17">
        <f t="shared" si="3"/>
        <v>4162608.0300000003</v>
      </c>
      <c r="BC3" s="17">
        <f t="shared" si="3"/>
        <v>0</v>
      </c>
      <c r="BD3" s="17">
        <f t="shared" si="3"/>
        <v>1285821.57</v>
      </c>
      <c r="BE3" s="17">
        <f t="shared" si="3"/>
        <v>0</v>
      </c>
      <c r="BF3" s="17">
        <f t="shared" si="3"/>
        <v>0</v>
      </c>
      <c r="BG3" s="17">
        <f t="shared" si="3"/>
        <v>0</v>
      </c>
      <c r="BH3" s="17">
        <f t="shared" si="3"/>
        <v>0</v>
      </c>
      <c r="BI3" s="17">
        <f t="shared" si="3"/>
        <v>0</v>
      </c>
      <c r="BJ3" s="17">
        <f t="shared" si="3"/>
        <v>0</v>
      </c>
      <c r="BK3" s="17">
        <f t="shared" si="3"/>
        <v>0</v>
      </c>
      <c r="BL3" s="17">
        <f>SUM(BL4:BL10)</f>
        <v>5449957.88</v>
      </c>
      <c r="BM3" s="17"/>
      <c r="BN3" s="17">
        <f>SUM(BN4:BN10)</f>
        <v>0</v>
      </c>
      <c r="BO3" s="17"/>
      <c r="BP3" s="17"/>
    </row>
    <row r="4" spans="1:68" s="14" customFormat="1" ht="12.75">
      <c r="A4" s="29"/>
      <c r="B4" s="85" t="s">
        <v>215</v>
      </c>
      <c r="C4" s="29"/>
      <c r="D4" s="29"/>
      <c r="E4" s="29"/>
      <c r="F4" s="29"/>
      <c r="G4" s="29">
        <v>4576225</v>
      </c>
      <c r="H4" s="29"/>
      <c r="I4" s="29"/>
      <c r="J4" s="29"/>
      <c r="K4" s="29"/>
      <c r="L4" s="29"/>
      <c r="M4" s="29"/>
      <c r="N4" s="29"/>
      <c r="O4" s="29">
        <f t="shared" si="1"/>
        <v>4576225</v>
      </c>
      <c r="P4" s="29"/>
      <c r="Q4" s="29"/>
      <c r="R4" s="29">
        <f>4044.17+16679.23+286534</f>
        <v>307257.4</v>
      </c>
      <c r="S4" s="29"/>
      <c r="T4" s="29">
        <v>321357.45</v>
      </c>
      <c r="U4" s="29"/>
      <c r="V4" s="29">
        <f>300640.57</f>
        <v>300640.57</v>
      </c>
      <c r="W4" s="29"/>
      <c r="X4" s="29">
        <f>3426.7+749.68+20671.12+302172.51</f>
        <v>327020.01</v>
      </c>
      <c r="Y4" s="29"/>
      <c r="Z4" s="29">
        <f>1717.6+17336.05+303468.13</f>
        <v>322521.78</v>
      </c>
      <c r="AA4" s="29"/>
      <c r="AB4" s="29">
        <f>985.4+17490.41+295408.88+446384.74+234217.29</f>
        <v>994486.72</v>
      </c>
      <c r="AC4" s="29"/>
      <c r="AD4" s="29">
        <v>0</v>
      </c>
      <c r="AE4" s="29"/>
      <c r="AF4" s="29">
        <f>324242.4-234217.29</f>
        <v>90025.11000000002</v>
      </c>
      <c r="AG4" s="29"/>
      <c r="AH4" s="29">
        <v>310064.64</v>
      </c>
      <c r="AI4" s="29"/>
      <c r="AJ4" s="29">
        <f>19604.75+351668.81</f>
        <v>371273.56</v>
      </c>
      <c r="AK4" s="29"/>
      <c r="AL4" s="29">
        <f>313517.77</f>
        <v>313517.77</v>
      </c>
      <c r="AM4" s="29"/>
      <c r="AN4" s="29">
        <f>823.7+1397.75+28185.34+474036.23</f>
        <v>504443.01999999996</v>
      </c>
      <c r="AO4" s="29"/>
      <c r="AP4" s="14">
        <f>R4+T4+V4+X4+Z4+AB4+AD4+AF4+AH4+AJ4+AL4+AN4</f>
        <v>4162608.0300000003</v>
      </c>
      <c r="AQ4" s="29"/>
      <c r="AR4" s="29"/>
      <c r="AS4" s="14">
        <f aca="true" t="shared" si="4" ref="AS4:AS18">O4-AP4</f>
        <v>413616.96999999974</v>
      </c>
      <c r="AT4" s="29"/>
      <c r="AU4" s="29"/>
      <c r="AV4" s="29"/>
      <c r="AW4" s="29"/>
      <c r="AX4" s="29"/>
      <c r="AY4" s="29"/>
      <c r="AZ4" s="29"/>
      <c r="BA4" s="29"/>
      <c r="BB4" s="29">
        <f>AP4</f>
        <v>4162608.0300000003</v>
      </c>
      <c r="BC4" s="29"/>
      <c r="BD4" s="26"/>
      <c r="BE4" s="29"/>
      <c r="BF4" s="29"/>
      <c r="BG4" s="29"/>
      <c r="BH4" s="29"/>
      <c r="BI4" s="29"/>
      <c r="BJ4" s="29"/>
      <c r="BK4" s="26">
        <f>AW4+AY4+BA4+BC4+BE4+BG4+BI4</f>
        <v>0</v>
      </c>
      <c r="BL4" s="26">
        <f>AX4+AZ4+BB4+BD4+BF4+BH4+BJ4</f>
        <v>4162608.0300000003</v>
      </c>
      <c r="BM4" s="29"/>
      <c r="BN4" s="29">
        <f>BL4-AP4</f>
        <v>0</v>
      </c>
      <c r="BO4" s="29"/>
      <c r="BP4" s="29"/>
    </row>
    <row r="5" spans="1:68" s="14" customFormat="1" ht="12.75">
      <c r="A5" s="29"/>
      <c r="B5" s="85" t="s">
        <v>239</v>
      </c>
      <c r="C5" s="29"/>
      <c r="D5" s="29"/>
      <c r="E5" s="29">
        <v>18802</v>
      </c>
      <c r="F5" s="29"/>
      <c r="G5" s="29"/>
      <c r="H5" s="29"/>
      <c r="I5" s="29"/>
      <c r="J5" s="29"/>
      <c r="K5" s="29"/>
      <c r="L5" s="29"/>
      <c r="M5" s="29"/>
      <c r="N5" s="29"/>
      <c r="O5" s="29">
        <f t="shared" si="1"/>
        <v>18802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>
        <f>544.68+983.6</f>
        <v>1528.28</v>
      </c>
      <c r="AO5" s="29"/>
      <c r="AP5" s="14">
        <f aca="true" t="shared" si="5" ref="AP5:AP18">R5+T5+V5+X5+Z5+AB5+AD5+AF5+AH5+AJ5+AL5+AN5</f>
        <v>1528.28</v>
      </c>
      <c r="AQ5" s="29"/>
      <c r="AR5" s="29"/>
      <c r="AS5" s="14">
        <f>O5-AP5</f>
        <v>17273.72</v>
      </c>
      <c r="AT5" s="29"/>
      <c r="AU5" s="29"/>
      <c r="AV5" s="29"/>
      <c r="AW5" s="29"/>
      <c r="AX5" s="29">
        <f>AP5</f>
        <v>1528.28</v>
      </c>
      <c r="AY5" s="29"/>
      <c r="AZ5" s="29"/>
      <c r="BA5" s="29"/>
      <c r="BB5" s="29"/>
      <c r="BC5" s="29"/>
      <c r="BD5" s="26"/>
      <c r="BE5" s="29"/>
      <c r="BF5" s="29"/>
      <c r="BG5" s="29"/>
      <c r="BH5" s="29"/>
      <c r="BI5" s="29"/>
      <c r="BJ5" s="29"/>
      <c r="BK5" s="26">
        <f aca="true" t="shared" si="6" ref="BK5:BL10">AW5+AY5+BA5+BC5+BE5+BG5+BI5</f>
        <v>0</v>
      </c>
      <c r="BL5" s="26">
        <f t="shared" si="6"/>
        <v>1528.28</v>
      </c>
      <c r="BM5" s="29"/>
      <c r="BN5" s="29">
        <f aca="true" t="shared" si="7" ref="BN5:BN18">BL5-AP5</f>
        <v>0</v>
      </c>
      <c r="BO5" s="29"/>
      <c r="BP5" s="29"/>
    </row>
    <row r="6" spans="1:68" s="14" customFormat="1" ht="12.75">
      <c r="A6" s="29"/>
      <c r="B6" s="85" t="s">
        <v>280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>
        <f t="shared" si="1"/>
        <v>0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14">
        <f>R6+T6+V6+X6+Z6+AB6+AD6+AF6+AH6+AJ6+AL6+AN6</f>
        <v>0</v>
      </c>
      <c r="AQ6" s="29"/>
      <c r="AR6" s="29"/>
      <c r="AS6" s="14">
        <f>O6-AP6</f>
        <v>0</v>
      </c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6"/>
      <c r="BE6" s="29"/>
      <c r="BF6" s="29"/>
      <c r="BG6" s="29"/>
      <c r="BH6" s="29"/>
      <c r="BI6" s="29"/>
      <c r="BJ6" s="29"/>
      <c r="BK6" s="26">
        <f t="shared" si="6"/>
        <v>0</v>
      </c>
      <c r="BL6" s="26">
        <f t="shared" si="6"/>
        <v>0</v>
      </c>
      <c r="BM6" s="29"/>
      <c r="BN6" s="29">
        <f t="shared" si="7"/>
        <v>0</v>
      </c>
      <c r="BO6" s="29"/>
      <c r="BP6" s="29"/>
    </row>
    <row r="7" spans="1:68" s="14" customFormat="1" ht="12.75">
      <c r="A7" s="29"/>
      <c r="B7" s="85" t="s">
        <v>216</v>
      </c>
      <c r="C7" s="29"/>
      <c r="D7" s="29"/>
      <c r="E7" s="29"/>
      <c r="F7" s="29"/>
      <c r="G7" s="29"/>
      <c r="H7" s="29">
        <v>837371</v>
      </c>
      <c r="I7" s="29"/>
      <c r="J7" s="29"/>
      <c r="K7" s="29"/>
      <c r="L7" s="29"/>
      <c r="M7" s="29"/>
      <c r="N7" s="29"/>
      <c r="O7" s="29">
        <f t="shared" si="1"/>
        <v>837371</v>
      </c>
      <c r="P7" s="29"/>
      <c r="Q7" s="29"/>
      <c r="R7" s="29">
        <v>58829.19</v>
      </c>
      <c r="S7" s="29"/>
      <c r="T7" s="29">
        <f>7263.15+60622.16</f>
        <v>67885.31</v>
      </c>
      <c r="U7" s="29"/>
      <c r="V7" s="29">
        <f>405+6000+57188.51</f>
        <v>63593.51</v>
      </c>
      <c r="W7" s="29"/>
      <c r="X7" s="29">
        <f>842.55+6000+55937.71</f>
        <v>62780.26</v>
      </c>
      <c r="Y7" s="29"/>
      <c r="Z7" s="29">
        <v>66700.94</v>
      </c>
      <c r="AA7" s="29"/>
      <c r="AB7" s="29">
        <f>89068.09+19000+35302.68+0</f>
        <v>143370.77</v>
      </c>
      <c r="AC7" s="29"/>
      <c r="AD7" s="29">
        <f>70733.33-35302.68</f>
        <v>35430.65</v>
      </c>
      <c r="AE7" s="29"/>
      <c r="AF7" s="29">
        <v>63429.36</v>
      </c>
      <c r="AG7" s="29"/>
      <c r="AH7" s="29">
        <v>94561.5</v>
      </c>
      <c r="AI7" s="29"/>
      <c r="AJ7" s="29">
        <v>67064.29</v>
      </c>
      <c r="AK7" s="29"/>
      <c r="AL7" s="29">
        <v>73619.62</v>
      </c>
      <c r="AM7" s="29"/>
      <c r="AN7" s="29">
        <v>98129.39</v>
      </c>
      <c r="AO7" s="29"/>
      <c r="AP7" s="14">
        <f t="shared" si="5"/>
        <v>895394.79</v>
      </c>
      <c r="AQ7" s="29"/>
      <c r="AR7" s="29"/>
      <c r="AS7" s="14">
        <f t="shared" si="4"/>
        <v>-58023.79000000004</v>
      </c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6">
        <f>AP7</f>
        <v>895394.79</v>
      </c>
      <c r="BE7" s="29"/>
      <c r="BF7" s="29"/>
      <c r="BG7" s="29"/>
      <c r="BH7" s="29"/>
      <c r="BI7" s="29"/>
      <c r="BJ7" s="29"/>
      <c r="BK7" s="26">
        <f t="shared" si="6"/>
        <v>0</v>
      </c>
      <c r="BL7" s="26">
        <f t="shared" si="6"/>
        <v>895394.79</v>
      </c>
      <c r="BM7" s="29"/>
      <c r="BN7" s="29">
        <f t="shared" si="7"/>
        <v>0</v>
      </c>
      <c r="BO7" s="29"/>
      <c r="BP7" s="29"/>
    </row>
    <row r="8" spans="2:66" s="14" customFormat="1" ht="12.75">
      <c r="B8" s="85" t="s">
        <v>217</v>
      </c>
      <c r="E8" s="29"/>
      <c r="F8" s="29"/>
      <c r="G8" s="29"/>
      <c r="H8" s="29"/>
      <c r="I8" s="29">
        <v>388637</v>
      </c>
      <c r="J8" s="29"/>
      <c r="K8" s="29"/>
      <c r="L8" s="29"/>
      <c r="M8" s="29"/>
      <c r="N8" s="29"/>
      <c r="O8" s="29">
        <f t="shared" si="1"/>
        <v>388637</v>
      </c>
      <c r="P8" s="29"/>
      <c r="R8" s="14">
        <v>29842.66</v>
      </c>
      <c r="T8" s="14">
        <v>29842.65</v>
      </c>
      <c r="V8" s="14">
        <f>32236.77</f>
        <v>32236.77</v>
      </c>
      <c r="X8" s="14">
        <v>30238.75</v>
      </c>
      <c r="Z8" s="14">
        <v>30238.75</v>
      </c>
      <c r="AB8" s="14">
        <f>32484.79+36469.75+16981.68</f>
        <v>85936.22</v>
      </c>
      <c r="AD8" s="14">
        <f>41256.11-36469.75</f>
        <v>4786.360000000001</v>
      </c>
      <c r="AF8" s="14">
        <f>29564.54-16981.68</f>
        <v>12582.86</v>
      </c>
      <c r="AH8" s="14">
        <v>30439.93</v>
      </c>
      <c r="AJ8" s="14">
        <v>34439.93</v>
      </c>
      <c r="AL8" s="14">
        <v>30439.93</v>
      </c>
      <c r="AN8" s="14">
        <v>39401.97</v>
      </c>
      <c r="AP8" s="14">
        <f t="shared" si="5"/>
        <v>390426.78</v>
      </c>
      <c r="AS8" s="14">
        <f t="shared" si="4"/>
        <v>-1789.780000000028</v>
      </c>
      <c r="BD8" s="26">
        <f>AP8</f>
        <v>390426.78</v>
      </c>
      <c r="BK8" s="26">
        <f t="shared" si="6"/>
        <v>0</v>
      </c>
      <c r="BL8" s="26">
        <f t="shared" si="6"/>
        <v>390426.78</v>
      </c>
      <c r="BN8" s="29">
        <f t="shared" si="7"/>
        <v>0</v>
      </c>
    </row>
    <row r="9" spans="2:66" s="14" customFormat="1" ht="12.75">
      <c r="B9" s="85" t="s">
        <v>381</v>
      </c>
      <c r="E9" s="29"/>
      <c r="F9" s="29">
        <v>4754</v>
      </c>
      <c r="G9" s="29"/>
      <c r="H9" s="29"/>
      <c r="I9" s="29"/>
      <c r="J9" s="29"/>
      <c r="K9" s="29"/>
      <c r="L9" s="29"/>
      <c r="M9" s="29"/>
      <c r="N9" s="29"/>
      <c r="O9" s="29">
        <f t="shared" si="1"/>
        <v>4754</v>
      </c>
      <c r="P9" s="29"/>
      <c r="AP9" s="14">
        <f t="shared" si="5"/>
        <v>0</v>
      </c>
      <c r="AS9" s="14">
        <f t="shared" si="4"/>
        <v>4754</v>
      </c>
      <c r="AZ9" s="14">
        <f>AP9</f>
        <v>0</v>
      </c>
      <c r="BD9" s="2"/>
      <c r="BK9" s="26">
        <f t="shared" si="6"/>
        <v>0</v>
      </c>
      <c r="BL9" s="26">
        <f t="shared" si="6"/>
        <v>0</v>
      </c>
      <c r="BN9" s="29">
        <f t="shared" si="7"/>
        <v>0</v>
      </c>
    </row>
    <row r="10" spans="2:66" s="14" customFormat="1" ht="12.75">
      <c r="B10" s="85"/>
      <c r="E10" s="29"/>
      <c r="F10" s="29"/>
      <c r="G10" s="29"/>
      <c r="H10" s="29"/>
      <c r="I10" s="29"/>
      <c r="J10" s="29"/>
      <c r="K10" s="29"/>
      <c r="L10" s="29"/>
      <c r="M10" s="29"/>
      <c r="N10" s="29"/>
      <c r="P10" s="29"/>
      <c r="AP10" s="14">
        <f t="shared" si="5"/>
        <v>0</v>
      </c>
      <c r="AS10" s="14">
        <f t="shared" si="4"/>
        <v>0</v>
      </c>
      <c r="BD10" s="2"/>
      <c r="BK10" s="26">
        <f t="shared" si="6"/>
        <v>0</v>
      </c>
      <c r="BL10" s="26">
        <f t="shared" si="6"/>
        <v>0</v>
      </c>
      <c r="BN10" s="29">
        <f t="shared" si="7"/>
        <v>0</v>
      </c>
    </row>
    <row r="11" spans="1:68" ht="30">
      <c r="A11" s="17"/>
      <c r="B11" s="78" t="s">
        <v>134</v>
      </c>
      <c r="C11" s="17" t="s">
        <v>4</v>
      </c>
      <c r="D11" s="17"/>
      <c r="E11" s="17">
        <f>SUM(E12:E18)</f>
        <v>4104</v>
      </c>
      <c r="F11" s="17">
        <f>SUM(F12:F18)</f>
        <v>1048</v>
      </c>
      <c r="G11" s="17">
        <f aca="true" t="shared" si="8" ref="G11:N11">SUM(G12:G18)</f>
        <v>1006769</v>
      </c>
      <c r="H11" s="17">
        <f t="shared" si="8"/>
        <v>184222</v>
      </c>
      <c r="I11" s="17">
        <f t="shared" si="8"/>
        <v>85500</v>
      </c>
      <c r="J11" s="17">
        <f t="shared" si="8"/>
        <v>0</v>
      </c>
      <c r="K11" s="17">
        <f t="shared" si="8"/>
        <v>0</v>
      </c>
      <c r="L11" s="17">
        <f t="shared" si="8"/>
        <v>0</v>
      </c>
      <c r="M11" s="17">
        <f t="shared" si="8"/>
        <v>0</v>
      </c>
      <c r="N11" s="17">
        <f t="shared" si="8"/>
        <v>0</v>
      </c>
      <c r="O11" s="16">
        <f aca="true" t="shared" si="9" ref="O11:O17">SUM(E11:N11)</f>
        <v>1281643</v>
      </c>
      <c r="Q11" s="17">
        <f aca="true" t="shared" si="10" ref="Q11:AG11">SUM(Q12:Q18)</f>
        <v>0</v>
      </c>
      <c r="R11" s="17">
        <f t="shared" si="10"/>
        <v>88611.93</v>
      </c>
      <c r="S11" s="17">
        <f t="shared" si="10"/>
        <v>0</v>
      </c>
      <c r="T11" s="17">
        <f t="shared" si="10"/>
        <v>91476.98</v>
      </c>
      <c r="U11" s="17">
        <f t="shared" si="10"/>
        <v>0</v>
      </c>
      <c r="V11" s="17">
        <f t="shared" si="10"/>
        <v>85256.81</v>
      </c>
      <c r="W11" s="17">
        <f t="shared" si="10"/>
        <v>0</v>
      </c>
      <c r="X11" s="17">
        <f t="shared" si="10"/>
        <v>104412.84</v>
      </c>
      <c r="Y11" s="17">
        <f t="shared" si="10"/>
        <v>0</v>
      </c>
      <c r="Z11" s="17">
        <f t="shared" si="10"/>
        <v>89519.45999999999</v>
      </c>
      <c r="AA11" s="17">
        <f t="shared" si="10"/>
        <v>0</v>
      </c>
      <c r="AB11" s="17">
        <f t="shared" si="10"/>
        <v>260281.11</v>
      </c>
      <c r="AC11" s="17">
        <f t="shared" si="10"/>
        <v>0</v>
      </c>
      <c r="AD11" s="17">
        <f t="shared" si="10"/>
        <v>9029.640000000001</v>
      </c>
      <c r="AE11" s="17">
        <f t="shared" si="10"/>
        <v>0</v>
      </c>
      <c r="AF11" s="17">
        <f t="shared" si="10"/>
        <v>36937.26999999999</v>
      </c>
      <c r="AG11" s="17">
        <f t="shared" si="10"/>
        <v>0</v>
      </c>
      <c r="AH11" s="17">
        <f>SUM(AH12:AH18)</f>
        <v>92202.63999999998</v>
      </c>
      <c r="AI11" s="17">
        <f>SUM(AI12:AI18)</f>
        <v>0</v>
      </c>
      <c r="AJ11" s="17">
        <f>SUM(AJ12:AJ18)</f>
        <v>107261.63</v>
      </c>
      <c r="AK11" s="17"/>
      <c r="AL11" s="17">
        <f>SUM(AL12:AL18)</f>
        <v>89347.07</v>
      </c>
      <c r="AM11" s="17"/>
      <c r="AN11" s="17">
        <f>SUM(AN12:AN18)</f>
        <v>136275.65000000002</v>
      </c>
      <c r="AO11" s="17"/>
      <c r="AP11" s="17">
        <f>SUM(AP12:AP18)</f>
        <v>1190613.03</v>
      </c>
      <c r="AQ11" s="17"/>
      <c r="AR11" s="17"/>
      <c r="AS11" s="17">
        <f>O11-AP11</f>
        <v>91029.96999999997</v>
      </c>
      <c r="AT11" s="17"/>
      <c r="AU11" s="17"/>
      <c r="AV11" s="17"/>
      <c r="AW11" s="17">
        <f aca="true" t="shared" si="11" ref="AW11:BL11">SUM(AW12:AW18)</f>
        <v>0</v>
      </c>
      <c r="AX11" s="17">
        <f t="shared" si="11"/>
        <v>336.21999999999997</v>
      </c>
      <c r="AY11" s="17">
        <f t="shared" si="11"/>
        <v>0</v>
      </c>
      <c r="AZ11" s="17">
        <f t="shared" si="11"/>
        <v>0</v>
      </c>
      <c r="BA11" s="17">
        <f t="shared" si="11"/>
        <v>0</v>
      </c>
      <c r="BB11" s="17">
        <f t="shared" si="11"/>
        <v>909329.22</v>
      </c>
      <c r="BC11" s="17">
        <f t="shared" si="11"/>
        <v>0</v>
      </c>
      <c r="BD11" s="17">
        <f t="shared" si="11"/>
        <v>280947.58999999997</v>
      </c>
      <c r="BE11" s="17">
        <f t="shared" si="11"/>
        <v>0</v>
      </c>
      <c r="BF11" s="17">
        <f t="shared" si="11"/>
        <v>0</v>
      </c>
      <c r="BG11" s="17">
        <f t="shared" si="11"/>
        <v>0</v>
      </c>
      <c r="BH11" s="17">
        <f t="shared" si="11"/>
        <v>0</v>
      </c>
      <c r="BI11" s="17">
        <f t="shared" si="11"/>
        <v>0</v>
      </c>
      <c r="BJ11" s="17">
        <f t="shared" si="11"/>
        <v>0</v>
      </c>
      <c r="BK11" s="17">
        <f t="shared" si="11"/>
        <v>0</v>
      </c>
      <c r="BL11" s="17">
        <f t="shared" si="11"/>
        <v>1190613.03</v>
      </c>
      <c r="BM11" s="17"/>
      <c r="BN11" s="17">
        <f>SUM(BN12:BN18)</f>
        <v>0</v>
      </c>
      <c r="BO11" s="17"/>
      <c r="BP11" s="17"/>
    </row>
    <row r="12" spans="1:68" s="14" customFormat="1" ht="12.75">
      <c r="A12" s="29"/>
      <c r="B12" s="85" t="s">
        <v>218</v>
      </c>
      <c r="C12" s="29"/>
      <c r="D12" s="29"/>
      <c r="E12" s="29">
        <f>ROUND(E4*0.22,0)</f>
        <v>0</v>
      </c>
      <c r="F12" s="29"/>
      <c r="G12" s="29">
        <f>ROUND(G4*0.22,0)-1</f>
        <v>1006769</v>
      </c>
      <c r="H12" s="29">
        <f aca="true" t="shared" si="12" ref="H12:N12">ROUND(H4*0.22,0)</f>
        <v>0</v>
      </c>
      <c r="I12" s="29">
        <f t="shared" si="12"/>
        <v>0</v>
      </c>
      <c r="J12" s="29">
        <f t="shared" si="12"/>
        <v>0</v>
      </c>
      <c r="K12" s="29">
        <f t="shared" si="12"/>
        <v>0</v>
      </c>
      <c r="L12" s="29">
        <f t="shared" si="12"/>
        <v>0</v>
      </c>
      <c r="M12" s="29">
        <f t="shared" si="12"/>
        <v>0</v>
      </c>
      <c r="N12" s="29">
        <f t="shared" si="12"/>
        <v>0</v>
      </c>
      <c r="O12" s="29">
        <f t="shared" si="9"/>
        <v>1006769</v>
      </c>
      <c r="P12" s="29"/>
      <c r="Q12" s="29"/>
      <c r="R12" s="29">
        <v>67297.44</v>
      </c>
      <c r="S12" s="29"/>
      <c r="T12" s="29">
        <v>68431.93</v>
      </c>
      <c r="U12" s="29"/>
      <c r="V12" s="29">
        <v>64517.56</v>
      </c>
      <c r="W12" s="29"/>
      <c r="X12" s="29">
        <f>82711.59+383.98</f>
        <v>83095.56999999999</v>
      </c>
      <c r="Y12" s="29"/>
      <c r="Z12" s="29">
        <v>68749.97</v>
      </c>
      <c r="AA12" s="29"/>
      <c r="AB12" s="29">
        <f>66807.76+520.43+94258.84+49710.51</f>
        <v>211297.53999999998</v>
      </c>
      <c r="AC12" s="29"/>
      <c r="AD12" s="29">
        <v>0</v>
      </c>
      <c r="AE12" s="29"/>
      <c r="AF12" s="29">
        <f>69064.5+509.9-49710.51</f>
        <v>19863.889999999992</v>
      </c>
      <c r="AG12" s="29"/>
      <c r="AH12" s="29">
        <f>65838.5+141.23</f>
        <v>65979.73</v>
      </c>
      <c r="AI12" s="29"/>
      <c r="AJ12" s="29">
        <v>85487.96</v>
      </c>
      <c r="AK12" s="29"/>
      <c r="AL12" s="29">
        <f>67076.66+396.56</f>
        <v>67473.22</v>
      </c>
      <c r="AM12" s="29"/>
      <c r="AN12" s="29">
        <v>107134.41</v>
      </c>
      <c r="AO12" s="29"/>
      <c r="AP12" s="14">
        <f t="shared" si="5"/>
        <v>909329.22</v>
      </c>
      <c r="AQ12" s="29"/>
      <c r="AR12" s="29"/>
      <c r="AS12" s="14">
        <f t="shared" si="4"/>
        <v>97439.78000000003</v>
      </c>
      <c r="AT12" s="29"/>
      <c r="AU12" s="29"/>
      <c r="AV12" s="29"/>
      <c r="AW12" s="29"/>
      <c r="AX12" s="29"/>
      <c r="AY12" s="29"/>
      <c r="AZ12" s="29"/>
      <c r="BA12" s="29"/>
      <c r="BB12" s="29">
        <f>AP12</f>
        <v>909329.22</v>
      </c>
      <c r="BC12" s="84"/>
      <c r="BD12" s="26"/>
      <c r="BE12" s="29"/>
      <c r="BF12" s="29"/>
      <c r="BG12" s="29"/>
      <c r="BH12" s="29"/>
      <c r="BI12" s="29"/>
      <c r="BJ12" s="29"/>
      <c r="BK12" s="26">
        <f aca="true" t="shared" si="13" ref="BK12:BL18">AW12+AY12+BA12+BC12+BE12+BG12+BI12</f>
        <v>0</v>
      </c>
      <c r="BL12" s="26">
        <f t="shared" si="13"/>
        <v>909329.22</v>
      </c>
      <c r="BM12" s="29"/>
      <c r="BN12" s="29">
        <f t="shared" si="7"/>
        <v>0</v>
      </c>
      <c r="BO12" s="29"/>
      <c r="BP12" s="29"/>
    </row>
    <row r="13" spans="1:68" s="14" customFormat="1" ht="12.75">
      <c r="A13" s="29"/>
      <c r="B13" s="85" t="s">
        <v>240</v>
      </c>
      <c r="C13" s="29"/>
      <c r="D13" s="29"/>
      <c r="E13" s="29">
        <f>ROUND(E5*0.22,0)-32</f>
        <v>4104</v>
      </c>
      <c r="F13" s="29"/>
      <c r="G13" s="29">
        <f aca="true" t="shared" si="14" ref="E13:N16">ROUND(G5*0.22,0)</f>
        <v>0</v>
      </c>
      <c r="H13" s="29">
        <f t="shared" si="14"/>
        <v>0</v>
      </c>
      <c r="I13" s="29">
        <f t="shared" si="14"/>
        <v>0</v>
      </c>
      <c r="J13" s="29">
        <f t="shared" si="14"/>
        <v>0</v>
      </c>
      <c r="K13" s="29">
        <f t="shared" si="14"/>
        <v>0</v>
      </c>
      <c r="L13" s="29">
        <f t="shared" si="14"/>
        <v>0</v>
      </c>
      <c r="M13" s="29">
        <f t="shared" si="14"/>
        <v>0</v>
      </c>
      <c r="N13" s="29">
        <f t="shared" si="14"/>
        <v>0</v>
      </c>
      <c r="O13" s="29">
        <f t="shared" si="9"/>
        <v>4104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>
        <f>119.83+216.39</f>
        <v>336.21999999999997</v>
      </c>
      <c r="AO13" s="29"/>
      <c r="AP13" s="14">
        <f t="shared" si="5"/>
        <v>336.21999999999997</v>
      </c>
      <c r="AQ13" s="29"/>
      <c r="AR13" s="29"/>
      <c r="AS13" s="14">
        <f t="shared" si="4"/>
        <v>3767.78</v>
      </c>
      <c r="AT13" s="29"/>
      <c r="AU13" s="29"/>
      <c r="AV13" s="29"/>
      <c r="AW13" s="29"/>
      <c r="AX13" s="29">
        <f>AP13</f>
        <v>336.21999999999997</v>
      </c>
      <c r="AY13" s="29"/>
      <c r="AZ13" s="29"/>
      <c r="BA13" s="29"/>
      <c r="BB13" s="29"/>
      <c r="BC13" s="29"/>
      <c r="BD13" s="26"/>
      <c r="BE13" s="29"/>
      <c r="BF13" s="29"/>
      <c r="BG13" s="29"/>
      <c r="BH13" s="29"/>
      <c r="BI13" s="29"/>
      <c r="BJ13" s="29"/>
      <c r="BK13" s="26">
        <f t="shared" si="13"/>
        <v>0</v>
      </c>
      <c r="BL13" s="26">
        <f t="shared" si="13"/>
        <v>336.21999999999997</v>
      </c>
      <c r="BM13" s="29"/>
      <c r="BN13" s="29">
        <f t="shared" si="7"/>
        <v>0</v>
      </c>
      <c r="BO13" s="29"/>
      <c r="BP13" s="29"/>
    </row>
    <row r="14" spans="1:68" s="14" customFormat="1" ht="12.75">
      <c r="A14" s="29"/>
      <c r="B14" s="85" t="s">
        <v>343</v>
      </c>
      <c r="C14" s="29"/>
      <c r="D14" s="29"/>
      <c r="E14" s="29">
        <f t="shared" si="14"/>
        <v>0</v>
      </c>
      <c r="F14" s="29"/>
      <c r="G14" s="29">
        <f t="shared" si="14"/>
        <v>0</v>
      </c>
      <c r="H14" s="29">
        <f t="shared" si="14"/>
        <v>0</v>
      </c>
      <c r="I14" s="29">
        <f t="shared" si="14"/>
        <v>0</v>
      </c>
      <c r="J14" s="29">
        <f t="shared" si="14"/>
        <v>0</v>
      </c>
      <c r="K14" s="29">
        <f t="shared" si="14"/>
        <v>0</v>
      </c>
      <c r="L14" s="29">
        <f t="shared" si="14"/>
        <v>0</v>
      </c>
      <c r="M14" s="29">
        <f t="shared" si="14"/>
        <v>0</v>
      </c>
      <c r="N14" s="29">
        <f t="shared" si="14"/>
        <v>0</v>
      </c>
      <c r="O14" s="29">
        <f t="shared" si="9"/>
        <v>0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14">
        <f>R14+T14+V14+X14+Z14+AB14+AD14+AF14+AH14+AJ14+AL14+AN14</f>
        <v>0</v>
      </c>
      <c r="AQ14" s="29"/>
      <c r="AR14" s="29"/>
      <c r="AS14" s="14">
        <f>O14-AP14</f>
        <v>0</v>
      </c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6"/>
      <c r="BE14" s="29"/>
      <c r="BF14" s="29"/>
      <c r="BG14" s="29"/>
      <c r="BH14" s="29"/>
      <c r="BI14" s="29"/>
      <c r="BJ14" s="29"/>
      <c r="BK14" s="26">
        <f t="shared" si="13"/>
        <v>0</v>
      </c>
      <c r="BL14" s="26">
        <f t="shared" si="13"/>
        <v>0</v>
      </c>
      <c r="BM14" s="29"/>
      <c r="BN14" s="29">
        <f t="shared" si="7"/>
        <v>0</v>
      </c>
      <c r="BO14" s="29"/>
      <c r="BP14" s="29"/>
    </row>
    <row r="15" spans="1:68" s="14" customFormat="1" ht="12.75">
      <c r="A15" s="29"/>
      <c r="B15" s="85" t="s">
        <v>219</v>
      </c>
      <c r="C15" s="29"/>
      <c r="D15" s="29"/>
      <c r="E15" s="29">
        <f t="shared" si="14"/>
        <v>0</v>
      </c>
      <c r="F15" s="29"/>
      <c r="G15" s="29">
        <f t="shared" si="14"/>
        <v>0</v>
      </c>
      <c r="H15" s="29">
        <f t="shared" si="14"/>
        <v>184222</v>
      </c>
      <c r="I15" s="29">
        <f t="shared" si="14"/>
        <v>0</v>
      </c>
      <c r="J15" s="29">
        <f t="shared" si="14"/>
        <v>0</v>
      </c>
      <c r="K15" s="29">
        <f t="shared" si="14"/>
        <v>0</v>
      </c>
      <c r="L15" s="29">
        <f t="shared" si="14"/>
        <v>0</v>
      </c>
      <c r="M15" s="29">
        <f t="shared" si="14"/>
        <v>0</v>
      </c>
      <c r="N15" s="29">
        <f t="shared" si="14"/>
        <v>0</v>
      </c>
      <c r="O15" s="29">
        <f t="shared" si="9"/>
        <v>184222</v>
      </c>
      <c r="P15" s="29"/>
      <c r="Q15" s="29"/>
      <c r="R15" s="29">
        <f>14270.95+550</f>
        <v>14820.95</v>
      </c>
      <c r="S15" s="29"/>
      <c r="T15" s="29">
        <f>14901.52+1650</f>
        <v>16551.52</v>
      </c>
      <c r="U15" s="29"/>
      <c r="V15" s="29">
        <f>13389.01+330</f>
        <v>13719.01</v>
      </c>
      <c r="W15" s="29"/>
      <c r="X15" s="29">
        <f>13402.06+1334.53</f>
        <v>14736.59</v>
      </c>
      <c r="Y15" s="29"/>
      <c r="Z15" s="29">
        <f>13858.81+330</f>
        <v>14188.81</v>
      </c>
      <c r="AA15" s="29"/>
      <c r="AB15" s="29">
        <f>18779.58+4179.98+6809.89+0</f>
        <v>29769.45</v>
      </c>
      <c r="AC15" s="29"/>
      <c r="AD15" s="29">
        <f>14345.19+416.59-6809.89</f>
        <v>7951.89</v>
      </c>
      <c r="AE15" s="29"/>
      <c r="AF15" s="29">
        <f>13954.46+422.54</f>
        <v>14377</v>
      </c>
      <c r="AG15" s="29"/>
      <c r="AH15" s="29">
        <v>19597.98</v>
      </c>
      <c r="AI15" s="29"/>
      <c r="AJ15" s="29">
        <f>13938.74+330</f>
        <v>14268.74</v>
      </c>
      <c r="AK15" s="29"/>
      <c r="AL15" s="29">
        <v>15380.92</v>
      </c>
      <c r="AM15" s="29"/>
      <c r="AN15" s="29">
        <v>20450.99</v>
      </c>
      <c r="AO15" s="29"/>
      <c r="AP15" s="14">
        <f t="shared" si="5"/>
        <v>195813.85</v>
      </c>
      <c r="AQ15" s="29"/>
      <c r="AR15" s="29"/>
      <c r="AS15" s="14">
        <f t="shared" si="4"/>
        <v>-11591.850000000006</v>
      </c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6">
        <f>AP15</f>
        <v>195813.85</v>
      </c>
      <c r="BE15" s="29"/>
      <c r="BF15" s="29"/>
      <c r="BG15" s="29"/>
      <c r="BH15" s="29"/>
      <c r="BI15" s="29"/>
      <c r="BJ15" s="29"/>
      <c r="BK15" s="26">
        <f t="shared" si="13"/>
        <v>0</v>
      </c>
      <c r="BL15" s="26">
        <f t="shared" si="13"/>
        <v>195813.85</v>
      </c>
      <c r="BM15" s="29"/>
      <c r="BN15" s="29">
        <f t="shared" si="7"/>
        <v>0</v>
      </c>
      <c r="BO15" s="29"/>
      <c r="BP15" s="29"/>
    </row>
    <row r="16" spans="2:66" s="14" customFormat="1" ht="12.75">
      <c r="B16" s="85" t="s">
        <v>220</v>
      </c>
      <c r="E16" s="29">
        <f t="shared" si="14"/>
        <v>0</v>
      </c>
      <c r="F16" s="29"/>
      <c r="G16" s="29">
        <f t="shared" si="14"/>
        <v>0</v>
      </c>
      <c r="H16" s="29">
        <f t="shared" si="14"/>
        <v>0</v>
      </c>
      <c r="I16" s="29">
        <f>ROUND(I8*0.22,0)</f>
        <v>85500</v>
      </c>
      <c r="J16" s="29">
        <f t="shared" si="14"/>
        <v>0</v>
      </c>
      <c r="K16" s="29">
        <f t="shared" si="14"/>
        <v>0</v>
      </c>
      <c r="L16" s="29">
        <f t="shared" si="14"/>
        <v>0</v>
      </c>
      <c r="M16" s="29">
        <f t="shared" si="14"/>
        <v>0</v>
      </c>
      <c r="N16" s="29">
        <f t="shared" si="14"/>
        <v>0</v>
      </c>
      <c r="O16" s="29">
        <f t="shared" si="9"/>
        <v>85500</v>
      </c>
      <c r="P16" s="29"/>
      <c r="R16" s="14">
        <f>6361.54+132</f>
        <v>6493.54</v>
      </c>
      <c r="T16" s="14">
        <f>6361.53+132</f>
        <v>6493.53</v>
      </c>
      <c r="V16" s="14">
        <f>6888.24+132</f>
        <v>7020.24</v>
      </c>
      <c r="X16" s="14">
        <f>6448.68+132</f>
        <v>6580.68</v>
      </c>
      <c r="Z16" s="14">
        <f>6448.68+132</f>
        <v>6580.68</v>
      </c>
      <c r="AB16" s="14">
        <f>6804.82+766.63+7906.7+3735.97</f>
        <v>19214.12</v>
      </c>
      <c r="AD16" s="14">
        <f>8848.51+135.94-7906.7</f>
        <v>1077.750000000001</v>
      </c>
      <c r="AF16" s="14">
        <f>6300.35+132-3735.97</f>
        <v>2696.3800000000006</v>
      </c>
      <c r="AH16" s="14">
        <f>6492.93+132</f>
        <v>6624.93</v>
      </c>
      <c r="AJ16" s="14">
        <f>7372.93+132</f>
        <v>7504.93</v>
      </c>
      <c r="AL16" s="14">
        <v>6492.93</v>
      </c>
      <c r="AN16" s="29">
        <v>8354.03</v>
      </c>
      <c r="AP16" s="14">
        <f t="shared" si="5"/>
        <v>85133.73999999999</v>
      </c>
      <c r="AS16" s="14">
        <f t="shared" si="4"/>
        <v>366.2600000000093</v>
      </c>
      <c r="BD16" s="26">
        <f>AP16</f>
        <v>85133.73999999999</v>
      </c>
      <c r="BK16" s="26">
        <f t="shared" si="13"/>
        <v>0</v>
      </c>
      <c r="BL16" s="26">
        <f t="shared" si="13"/>
        <v>85133.73999999999</v>
      </c>
      <c r="BN16" s="29">
        <f t="shared" si="7"/>
        <v>0</v>
      </c>
    </row>
    <row r="17" spans="2:66" s="14" customFormat="1" ht="12.75">
      <c r="B17" s="85" t="s">
        <v>382</v>
      </c>
      <c r="E17" s="29"/>
      <c r="F17" s="29">
        <v>1048</v>
      </c>
      <c r="G17" s="29"/>
      <c r="H17" s="29"/>
      <c r="I17" s="29"/>
      <c r="J17" s="29"/>
      <c r="K17" s="29"/>
      <c r="L17" s="29"/>
      <c r="M17" s="29"/>
      <c r="N17" s="29"/>
      <c r="O17" s="29">
        <f t="shared" si="9"/>
        <v>1048</v>
      </c>
      <c r="P17" s="29"/>
      <c r="AP17" s="14">
        <f t="shared" si="5"/>
        <v>0</v>
      </c>
      <c r="AS17" s="14">
        <f t="shared" si="4"/>
        <v>1048</v>
      </c>
      <c r="AZ17" s="14">
        <f>AP17</f>
        <v>0</v>
      </c>
      <c r="BD17" s="2"/>
      <c r="BK17" s="26">
        <f t="shared" si="13"/>
        <v>0</v>
      </c>
      <c r="BL17" s="26">
        <f t="shared" si="13"/>
        <v>0</v>
      </c>
      <c r="BN17" s="29">
        <f t="shared" si="7"/>
        <v>0</v>
      </c>
    </row>
    <row r="18" spans="2:66" s="14" customFormat="1" ht="12.75">
      <c r="B18" s="86"/>
      <c r="E18" s="29"/>
      <c r="F18" s="29"/>
      <c r="G18" s="29"/>
      <c r="H18" s="29"/>
      <c r="I18" s="29"/>
      <c r="J18" s="29"/>
      <c r="K18" s="29"/>
      <c r="L18" s="29"/>
      <c r="M18" s="29"/>
      <c r="N18" s="29"/>
      <c r="P18" s="29"/>
      <c r="AP18" s="14">
        <f t="shared" si="5"/>
        <v>0</v>
      </c>
      <c r="AS18" s="14">
        <f t="shared" si="4"/>
        <v>0</v>
      </c>
      <c r="BD18" s="2"/>
      <c r="BK18" s="26">
        <f t="shared" si="13"/>
        <v>0</v>
      </c>
      <c r="BL18" s="26">
        <f t="shared" si="13"/>
        <v>0</v>
      </c>
      <c r="BN18" s="29">
        <f t="shared" si="7"/>
        <v>0</v>
      </c>
    </row>
    <row r="19" spans="2:66" s="16" customFormat="1" ht="15">
      <c r="B19" s="67" t="s">
        <v>136</v>
      </c>
      <c r="E19" s="17">
        <f>E21+E22+E23+E24+E25+E44+E80+E96+E110+E144+E193+E203+E204+E221+E222+E237+E268+E262+E263+E264+E265+E266+E267+E269</f>
        <v>11548</v>
      </c>
      <c r="F19" s="17">
        <f aca="true" t="shared" si="15" ref="F19:AP19">F21+F22+F23+F24+F25+F44+F80+F96+F110+F144+F193+F203+F204+F221+F222+F237+F268+F262+F263+F264+F265+F266+F267+F269</f>
        <v>3402</v>
      </c>
      <c r="G19" s="17">
        <f t="shared" si="15"/>
        <v>0</v>
      </c>
      <c r="H19" s="17">
        <f t="shared" si="15"/>
        <v>124707</v>
      </c>
      <c r="I19" s="17">
        <f t="shared" si="15"/>
        <v>300</v>
      </c>
      <c r="J19" s="17">
        <f t="shared" si="15"/>
        <v>111300</v>
      </c>
      <c r="K19" s="17">
        <f t="shared" si="15"/>
        <v>102785</v>
      </c>
      <c r="L19" s="17">
        <f t="shared" si="15"/>
        <v>0</v>
      </c>
      <c r="M19" s="17">
        <f t="shared" si="15"/>
        <v>0</v>
      </c>
      <c r="N19" s="17">
        <f t="shared" si="15"/>
        <v>0</v>
      </c>
      <c r="O19" s="17">
        <f t="shared" si="15"/>
        <v>100408</v>
      </c>
      <c r="P19" s="16">
        <f>105993+300</f>
        <v>106293</v>
      </c>
      <c r="Q19" s="17">
        <f t="shared" si="15"/>
        <v>0</v>
      </c>
      <c r="R19" s="17">
        <f t="shared" si="15"/>
        <v>0</v>
      </c>
      <c r="S19" s="17">
        <f t="shared" si="15"/>
        <v>9</v>
      </c>
      <c r="T19" s="17">
        <f t="shared" si="15"/>
        <v>4225</v>
      </c>
      <c r="U19" s="17">
        <f t="shared" si="15"/>
        <v>16</v>
      </c>
      <c r="V19" s="17">
        <f t="shared" si="15"/>
        <v>2300</v>
      </c>
      <c r="W19" s="17">
        <f t="shared" si="15"/>
        <v>100</v>
      </c>
      <c r="X19" s="17">
        <f t="shared" si="15"/>
        <v>2396.8</v>
      </c>
      <c r="Y19" s="17">
        <f t="shared" si="15"/>
        <v>1801</v>
      </c>
      <c r="Z19" s="17">
        <f t="shared" si="15"/>
        <v>46400</v>
      </c>
      <c r="AA19" s="17">
        <f t="shared" si="15"/>
        <v>110</v>
      </c>
      <c r="AB19" s="17">
        <f t="shared" si="15"/>
        <v>118810.72</v>
      </c>
      <c r="AC19" s="17">
        <f t="shared" si="15"/>
        <v>502</v>
      </c>
      <c r="AD19" s="17">
        <f t="shared" si="15"/>
        <v>61287</v>
      </c>
      <c r="AE19" s="17">
        <f t="shared" si="15"/>
        <v>135</v>
      </c>
      <c r="AF19" s="17">
        <f t="shared" si="15"/>
        <v>33603</v>
      </c>
      <c r="AG19" s="17">
        <f t="shared" si="15"/>
        <v>1000</v>
      </c>
      <c r="AH19" s="17">
        <f t="shared" si="15"/>
        <v>25880</v>
      </c>
      <c r="AI19" s="17">
        <f t="shared" si="15"/>
        <v>60</v>
      </c>
      <c r="AJ19" s="17">
        <f t="shared" si="15"/>
        <v>5985.3</v>
      </c>
      <c r="AK19" s="17">
        <f t="shared" si="15"/>
        <v>4</v>
      </c>
      <c r="AL19" s="17">
        <f t="shared" si="15"/>
        <v>4828</v>
      </c>
      <c r="AM19" s="17">
        <f t="shared" si="15"/>
        <v>127.4</v>
      </c>
      <c r="AN19" s="17">
        <f t="shared" si="15"/>
        <v>37577.42</v>
      </c>
      <c r="AO19" s="17">
        <f t="shared" si="15"/>
        <v>3864.4</v>
      </c>
      <c r="AP19" s="17">
        <f t="shared" si="15"/>
        <v>343293.24</v>
      </c>
      <c r="AS19" s="17">
        <f>AS21+AS22+AS23+AS24+AS25+AS44+AS80+AS96+AS110+AS144+AS193+AS203+AS204+AS221+AS222+AS237+AS268+AS262+AS263+AS264+AS265+AS266+AS267+AS269</f>
        <v>10748.759999999998</v>
      </c>
      <c r="AW19" s="17">
        <f aca="true" t="shared" si="16" ref="AW19:BK19">AW21+AW22+AW23+AW24+AW25+AW44+AW80+AW96+AW110+AW144+AW193+AW203+AW204+AW221+AW222+AW237+AW268+AW262+AW263+AW264+AW265+AW266+AW267+AW269</f>
        <v>11</v>
      </c>
      <c r="AX19" s="17">
        <f t="shared" si="16"/>
        <v>8697</v>
      </c>
      <c r="AY19" s="17">
        <f t="shared" si="16"/>
        <v>3</v>
      </c>
      <c r="AZ19" s="17">
        <f t="shared" si="16"/>
        <v>6268</v>
      </c>
      <c r="BA19" s="17">
        <f t="shared" si="16"/>
        <v>0</v>
      </c>
      <c r="BB19" s="17">
        <f t="shared" si="16"/>
        <v>0</v>
      </c>
      <c r="BC19" s="17">
        <f t="shared" si="16"/>
        <v>3844.4</v>
      </c>
      <c r="BD19" s="17">
        <f t="shared" si="16"/>
        <v>225543.24</v>
      </c>
      <c r="BE19" s="17">
        <f t="shared" si="16"/>
        <v>6</v>
      </c>
      <c r="BF19" s="17">
        <f t="shared" si="16"/>
        <v>102785</v>
      </c>
      <c r="BG19" s="17">
        <f t="shared" si="16"/>
        <v>0</v>
      </c>
      <c r="BH19" s="17">
        <f t="shared" si="16"/>
        <v>0</v>
      </c>
      <c r="BI19" s="17">
        <f t="shared" si="16"/>
        <v>0</v>
      </c>
      <c r="BJ19" s="17">
        <f t="shared" si="16"/>
        <v>0</v>
      </c>
      <c r="BK19" s="17">
        <f t="shared" si="16"/>
        <v>3864.4</v>
      </c>
      <c r="BL19" s="17">
        <f>BL21+BL22+BL23+BL24+BL25+BL44+BL80+BL96+BL110+BL144+BL193+BL203+BL204+BL221+BL222+BL237+BL268+BL262+BL263+BL264+BL265+BL266+BL267+BL269</f>
        <v>343293.24</v>
      </c>
      <c r="BM19" s="17"/>
      <c r="BN19" s="17">
        <f>BN21+BN22+BN23+BN24+BN25+BN44+BN80+BN96+BN110+BN144+BN193+BN203+BN204+BN221+BN222+BN237+BN268+BN262+BN263+BN264+BN265+BN266+BN267+BN269</f>
        <v>0</v>
      </c>
    </row>
    <row r="20" spans="2:56" ht="15">
      <c r="B20" s="79"/>
      <c r="C20" s="1" t="s">
        <v>1</v>
      </c>
      <c r="D20" s="2" t="s">
        <v>3</v>
      </c>
      <c r="E20" s="2" t="s">
        <v>4</v>
      </c>
      <c r="F20" s="2"/>
      <c r="G20" s="2"/>
      <c r="H20" s="2"/>
      <c r="P20" s="19">
        <f>P19-O19</f>
        <v>5885</v>
      </c>
      <c r="BD20" s="2"/>
    </row>
    <row r="21" spans="1:68" ht="14.25">
      <c r="A21" s="6">
        <v>1</v>
      </c>
      <c r="B21" s="61" t="s">
        <v>0</v>
      </c>
      <c r="C21" s="8" t="s">
        <v>2</v>
      </c>
      <c r="D21" s="7">
        <v>11</v>
      </c>
      <c r="E21" s="7"/>
      <c r="F21" s="7"/>
      <c r="G21" s="7"/>
      <c r="H21" s="7">
        <v>1219</v>
      </c>
      <c r="I21" s="9"/>
      <c r="J21" s="9"/>
      <c r="K21" s="9"/>
      <c r="L21" s="9"/>
      <c r="M21" s="9"/>
      <c r="N21" s="9"/>
      <c r="O21" s="9">
        <f>SUM(E21:N21)</f>
        <v>1219</v>
      </c>
      <c r="P21" s="28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>
        <f>4+7+2+1</f>
        <v>14</v>
      </c>
      <c r="AD21" s="9">
        <v>1180</v>
      </c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2">
        <f>Q21+S21+U21+W21+Y21+AA21+AC21+AE21+AG21+AI21+AK21+AM21</f>
        <v>14</v>
      </c>
      <c r="AP21" s="2">
        <f aca="true" t="shared" si="17" ref="AO21:AP24">R21+T21+V21+X21+Z21+AB21+AD21+AF21+AH21+AJ21+AL21+AN21</f>
        <v>1180</v>
      </c>
      <c r="AQ21" s="9"/>
      <c r="AR21" s="9"/>
      <c r="AS21" s="2">
        <f>O21-AP21</f>
        <v>39</v>
      </c>
      <c r="AT21" s="9"/>
      <c r="AU21" s="9"/>
      <c r="AV21" s="9"/>
      <c r="AW21" s="9"/>
      <c r="AX21" s="9"/>
      <c r="AY21" s="9"/>
      <c r="AZ21" s="9"/>
      <c r="BA21" s="9"/>
      <c r="BB21" s="9"/>
      <c r="BC21" s="26">
        <f>AO21</f>
        <v>14</v>
      </c>
      <c r="BD21" s="26">
        <f>AP21</f>
        <v>1180</v>
      </c>
      <c r="BE21" s="9"/>
      <c r="BF21" s="9"/>
      <c r="BG21" s="9"/>
      <c r="BH21" s="9"/>
      <c r="BI21" s="9"/>
      <c r="BJ21" s="9"/>
      <c r="BK21" s="26">
        <f aca="true" t="shared" si="18" ref="BK21:BL24">AW21+AY21+BA21+BC21+BE21+BG21+BI21</f>
        <v>14</v>
      </c>
      <c r="BL21" s="26">
        <f t="shared" si="18"/>
        <v>1180</v>
      </c>
      <c r="BM21" s="9"/>
      <c r="BN21" s="29">
        <f aca="true" t="shared" si="19" ref="BN21:BN84">BL21-AP21</f>
        <v>0</v>
      </c>
      <c r="BO21" s="9"/>
      <c r="BP21" s="9"/>
    </row>
    <row r="22" spans="1:68" ht="14.25">
      <c r="A22" s="6">
        <v>2</v>
      </c>
      <c r="B22" s="61" t="s">
        <v>5</v>
      </c>
      <c r="C22" s="8" t="s">
        <v>2</v>
      </c>
      <c r="D22" s="7"/>
      <c r="E22" s="7"/>
      <c r="F22" s="7"/>
      <c r="G22" s="7"/>
      <c r="H22" s="7"/>
      <c r="I22" s="9"/>
      <c r="J22" s="9"/>
      <c r="K22" s="9"/>
      <c r="L22" s="9"/>
      <c r="M22" s="9"/>
      <c r="N22" s="9"/>
      <c r="O22" s="9">
        <f aca="true" t="shared" si="20" ref="O22:O100">SUM(E22:N22)</f>
        <v>0</v>
      </c>
      <c r="P22" s="28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2">
        <f t="shared" si="17"/>
        <v>0</v>
      </c>
      <c r="AP22" s="2">
        <f t="shared" si="17"/>
        <v>0</v>
      </c>
      <c r="AQ22" s="9"/>
      <c r="AR22" s="9"/>
      <c r="AS22" s="2">
        <f aca="true" t="shared" si="21" ref="AS22:AS103">O22-AP22</f>
        <v>0</v>
      </c>
      <c r="AT22" s="9"/>
      <c r="AU22" s="9"/>
      <c r="AV22" s="9"/>
      <c r="AW22" s="9"/>
      <c r="AX22" s="9"/>
      <c r="AY22" s="9"/>
      <c r="AZ22" s="9"/>
      <c r="BA22" s="9"/>
      <c r="BB22" s="9"/>
      <c r="BC22" s="26">
        <f aca="true" t="shared" si="22" ref="BC22:BD100">AO22</f>
        <v>0</v>
      </c>
      <c r="BD22" s="26">
        <f t="shared" si="22"/>
        <v>0</v>
      </c>
      <c r="BE22" s="9"/>
      <c r="BF22" s="9"/>
      <c r="BG22" s="9"/>
      <c r="BH22" s="9"/>
      <c r="BI22" s="9"/>
      <c r="BJ22" s="9"/>
      <c r="BK22" s="26">
        <f t="shared" si="18"/>
        <v>0</v>
      </c>
      <c r="BL22" s="26">
        <f t="shared" si="18"/>
        <v>0</v>
      </c>
      <c r="BM22" s="9"/>
      <c r="BN22" s="29">
        <f t="shared" si="19"/>
        <v>0</v>
      </c>
      <c r="BO22" s="9"/>
      <c r="BP22" s="9"/>
    </row>
    <row r="23" spans="1:68" ht="14.25">
      <c r="A23" s="6">
        <v>3</v>
      </c>
      <c r="B23" s="61" t="s">
        <v>6</v>
      </c>
      <c r="C23" s="8" t="s">
        <v>2</v>
      </c>
      <c r="D23" s="42">
        <v>20</v>
      </c>
      <c r="E23" s="7"/>
      <c r="F23" s="7"/>
      <c r="G23" s="7"/>
      <c r="H23" s="7">
        <f>D23*5</f>
        <v>100</v>
      </c>
      <c r="I23" s="9"/>
      <c r="J23" s="9"/>
      <c r="K23" s="9"/>
      <c r="L23" s="9"/>
      <c r="M23" s="9"/>
      <c r="N23" s="9"/>
      <c r="O23" s="9">
        <f t="shared" si="20"/>
        <v>100</v>
      </c>
      <c r="P23" s="28"/>
      <c r="Q23" s="9"/>
      <c r="R23" s="9"/>
      <c r="S23" s="9"/>
      <c r="T23" s="9"/>
      <c r="U23" s="9"/>
      <c r="V23" s="9"/>
      <c r="W23" s="9"/>
      <c r="X23" s="9"/>
      <c r="Y23" s="9"/>
      <c r="Z23" s="9"/>
      <c r="AA23" s="9">
        <v>21</v>
      </c>
      <c r="AB23" s="9">
        <v>65.52</v>
      </c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2">
        <f t="shared" si="17"/>
        <v>21</v>
      </c>
      <c r="AP23" s="2">
        <f t="shared" si="17"/>
        <v>65.52</v>
      </c>
      <c r="AQ23" s="9"/>
      <c r="AR23" s="9"/>
      <c r="AS23" s="2">
        <f t="shared" si="21"/>
        <v>34.480000000000004</v>
      </c>
      <c r="AT23" s="9"/>
      <c r="AU23" s="9"/>
      <c r="AV23" s="9"/>
      <c r="AW23" s="9"/>
      <c r="AX23" s="9"/>
      <c r="AY23" s="9"/>
      <c r="AZ23" s="9"/>
      <c r="BA23" s="9"/>
      <c r="BB23" s="9"/>
      <c r="BC23" s="26">
        <f t="shared" si="22"/>
        <v>21</v>
      </c>
      <c r="BD23" s="26">
        <f t="shared" si="22"/>
        <v>65.52</v>
      </c>
      <c r="BE23" s="9"/>
      <c r="BF23" s="9"/>
      <c r="BG23" s="9"/>
      <c r="BH23" s="9"/>
      <c r="BI23" s="9"/>
      <c r="BJ23" s="9"/>
      <c r="BK23" s="26">
        <f t="shared" si="18"/>
        <v>21</v>
      </c>
      <c r="BL23" s="26">
        <f t="shared" si="18"/>
        <v>65.52</v>
      </c>
      <c r="BM23" s="9"/>
      <c r="BN23" s="29">
        <f t="shared" si="19"/>
        <v>0</v>
      </c>
      <c r="BO23" s="9"/>
      <c r="BP23" s="9"/>
    </row>
    <row r="24" spans="1:68" s="19" customFormat="1" ht="14.25">
      <c r="A24" s="93">
        <v>4</v>
      </c>
      <c r="B24" s="61" t="s">
        <v>7</v>
      </c>
      <c r="C24" s="24" t="s">
        <v>2</v>
      </c>
      <c r="D24" s="21"/>
      <c r="E24" s="21"/>
      <c r="F24" s="21"/>
      <c r="G24" s="21"/>
      <c r="H24" s="21"/>
      <c r="I24" s="28"/>
      <c r="J24" s="28">
        <v>3000</v>
      </c>
      <c r="K24" s="28"/>
      <c r="L24" s="28"/>
      <c r="M24" s="28"/>
      <c r="N24" s="28"/>
      <c r="O24" s="28">
        <f t="shared" si="20"/>
        <v>3000</v>
      </c>
      <c r="P24" s="28"/>
      <c r="Q24" s="28"/>
      <c r="R24" s="28"/>
      <c r="S24" s="28"/>
      <c r="T24" s="28"/>
      <c r="U24" s="28"/>
      <c r="V24" s="28"/>
      <c r="W24" s="28">
        <v>1</v>
      </c>
      <c r="X24" s="28">
        <v>496.8</v>
      </c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>
        <f>1+1</f>
        <v>2</v>
      </c>
      <c r="AN24" s="28">
        <f>3053.92+562</f>
        <v>3615.92</v>
      </c>
      <c r="AO24" s="26">
        <f t="shared" si="17"/>
        <v>3</v>
      </c>
      <c r="AP24" s="26">
        <f t="shared" si="17"/>
        <v>4112.72</v>
      </c>
      <c r="AQ24" s="28"/>
      <c r="AR24" s="28"/>
      <c r="AS24" s="26">
        <f t="shared" si="21"/>
        <v>-1112.7200000000003</v>
      </c>
      <c r="AT24" s="28"/>
      <c r="AU24" s="28"/>
      <c r="AV24" s="28"/>
      <c r="AW24" s="28"/>
      <c r="AX24" s="28"/>
      <c r="AY24" s="28"/>
      <c r="AZ24" s="28"/>
      <c r="BA24" s="28"/>
      <c r="BB24" s="28"/>
      <c r="BC24" s="26">
        <f t="shared" si="22"/>
        <v>3</v>
      </c>
      <c r="BD24" s="26">
        <f t="shared" si="22"/>
        <v>4112.72</v>
      </c>
      <c r="BE24" s="28"/>
      <c r="BF24" s="28"/>
      <c r="BG24" s="28"/>
      <c r="BH24" s="28"/>
      <c r="BI24" s="28"/>
      <c r="BJ24" s="28"/>
      <c r="BK24" s="26">
        <f t="shared" si="18"/>
        <v>3</v>
      </c>
      <c r="BL24" s="26">
        <f t="shared" si="18"/>
        <v>4112.72</v>
      </c>
      <c r="BM24" s="28"/>
      <c r="BN24" s="29">
        <f t="shared" si="19"/>
        <v>0</v>
      </c>
      <c r="BO24" s="28"/>
      <c r="BP24" s="28"/>
    </row>
    <row r="25" spans="1:66" s="19" customFormat="1" ht="14.25">
      <c r="A25" s="6">
        <v>5</v>
      </c>
      <c r="B25" s="61" t="s">
        <v>8</v>
      </c>
      <c r="C25" s="8"/>
      <c r="D25" s="66"/>
      <c r="E25" s="7">
        <f aca="true" t="shared" si="23" ref="E25:O25">SUM(E26:E43)</f>
        <v>0</v>
      </c>
      <c r="F25" s="7">
        <f t="shared" si="23"/>
        <v>0</v>
      </c>
      <c r="G25" s="7">
        <f t="shared" si="23"/>
        <v>0</v>
      </c>
      <c r="H25" s="7">
        <f t="shared" si="23"/>
        <v>3550</v>
      </c>
      <c r="I25" s="7">
        <f t="shared" si="23"/>
        <v>0</v>
      </c>
      <c r="J25" s="7">
        <f t="shared" si="23"/>
        <v>0</v>
      </c>
      <c r="K25" s="7">
        <f t="shared" si="23"/>
        <v>0</v>
      </c>
      <c r="L25" s="7">
        <f t="shared" si="23"/>
        <v>0</v>
      </c>
      <c r="M25" s="7">
        <f t="shared" si="23"/>
        <v>0</v>
      </c>
      <c r="N25" s="7">
        <f t="shared" si="23"/>
        <v>0</v>
      </c>
      <c r="O25" s="62">
        <f t="shared" si="23"/>
        <v>3550</v>
      </c>
      <c r="P25" s="58"/>
      <c r="Q25" s="7">
        <f aca="true" t="shared" si="24" ref="Q25:AM25">SUM(Q26:Q43)</f>
        <v>0</v>
      </c>
      <c r="R25" s="7">
        <f t="shared" si="24"/>
        <v>0</v>
      </c>
      <c r="S25" s="7">
        <f t="shared" si="24"/>
        <v>0</v>
      </c>
      <c r="T25" s="7">
        <f t="shared" si="24"/>
        <v>0</v>
      </c>
      <c r="U25" s="7">
        <f t="shared" si="24"/>
        <v>0</v>
      </c>
      <c r="V25" s="7">
        <f t="shared" si="24"/>
        <v>0</v>
      </c>
      <c r="W25" s="7">
        <f t="shared" si="24"/>
        <v>0</v>
      </c>
      <c r="X25" s="7">
        <f t="shared" si="24"/>
        <v>0</v>
      </c>
      <c r="Y25" s="7">
        <f t="shared" si="24"/>
        <v>0</v>
      </c>
      <c r="Z25" s="7">
        <f t="shared" si="24"/>
        <v>0</v>
      </c>
      <c r="AA25" s="7">
        <f t="shared" si="24"/>
        <v>46</v>
      </c>
      <c r="AB25" s="7">
        <f t="shared" si="24"/>
        <v>3687.2000000000003</v>
      </c>
      <c r="AC25" s="7">
        <f t="shared" si="24"/>
        <v>0</v>
      </c>
      <c r="AD25" s="7">
        <f t="shared" si="24"/>
        <v>0</v>
      </c>
      <c r="AE25" s="7">
        <f t="shared" si="24"/>
        <v>0</v>
      </c>
      <c r="AF25" s="7">
        <f t="shared" si="24"/>
        <v>0</v>
      </c>
      <c r="AG25" s="7">
        <f t="shared" si="24"/>
        <v>0</v>
      </c>
      <c r="AH25" s="7">
        <f t="shared" si="24"/>
        <v>0</v>
      </c>
      <c r="AI25" s="7">
        <f t="shared" si="24"/>
        <v>0</v>
      </c>
      <c r="AJ25" s="7">
        <f t="shared" si="24"/>
        <v>0</v>
      </c>
      <c r="AK25" s="7">
        <f t="shared" si="24"/>
        <v>0</v>
      </c>
      <c r="AL25" s="7">
        <f t="shared" si="24"/>
        <v>0</v>
      </c>
      <c r="AM25" s="7">
        <f t="shared" si="24"/>
        <v>0</v>
      </c>
      <c r="AN25" s="7">
        <f>SUM(AN26:AN43)</f>
        <v>0</v>
      </c>
      <c r="AO25" s="21">
        <f>SUM(AO26:AO43)</f>
        <v>46</v>
      </c>
      <c r="AP25" s="21">
        <f>SUM(AP26:AP43)</f>
        <v>3687.2000000000003</v>
      </c>
      <c r="AQ25" s="89"/>
      <c r="AR25" s="28"/>
      <c r="AS25" s="21">
        <f>SUM(AS26:AS43)</f>
        <v>-137.20000000000005</v>
      </c>
      <c r="AT25" s="28"/>
      <c r="AU25" s="28"/>
      <c r="AV25" s="28"/>
      <c r="AW25" s="24">
        <f aca="true" t="shared" si="25" ref="AW25:BD25">SUM(AW26:AW43)</f>
        <v>0</v>
      </c>
      <c r="AX25" s="24">
        <f t="shared" si="25"/>
        <v>0</v>
      </c>
      <c r="AY25" s="24">
        <f t="shared" si="25"/>
        <v>0</v>
      </c>
      <c r="AZ25" s="24">
        <f t="shared" si="25"/>
        <v>0</v>
      </c>
      <c r="BA25" s="24">
        <f t="shared" si="25"/>
        <v>0</v>
      </c>
      <c r="BB25" s="24">
        <f t="shared" si="25"/>
        <v>0</v>
      </c>
      <c r="BC25" s="24">
        <f t="shared" si="25"/>
        <v>46</v>
      </c>
      <c r="BD25" s="24">
        <f t="shared" si="25"/>
        <v>3687.2000000000003</v>
      </c>
      <c r="BE25" s="24">
        <f aca="true" t="shared" si="26" ref="BE25:BL25">SUM(BE26:BE43)</f>
        <v>0</v>
      </c>
      <c r="BF25" s="24">
        <f t="shared" si="26"/>
        <v>0</v>
      </c>
      <c r="BG25" s="24">
        <f t="shared" si="26"/>
        <v>0</v>
      </c>
      <c r="BH25" s="24">
        <f t="shared" si="26"/>
        <v>0</v>
      </c>
      <c r="BI25" s="24">
        <f t="shared" si="26"/>
        <v>0</v>
      </c>
      <c r="BJ25" s="24">
        <f t="shared" si="26"/>
        <v>0</v>
      </c>
      <c r="BK25" s="24">
        <f t="shared" si="26"/>
        <v>46</v>
      </c>
      <c r="BL25" s="24">
        <f t="shared" si="26"/>
        <v>3687.2000000000003</v>
      </c>
      <c r="BM25" s="24"/>
      <c r="BN25" s="24">
        <f>SUM(BN26:BN43)</f>
        <v>0</v>
      </c>
    </row>
    <row r="26" spans="1:66" ht="14.25">
      <c r="A26" s="2"/>
      <c r="B26" s="52" t="s">
        <v>388</v>
      </c>
      <c r="C26" s="2" t="s">
        <v>2</v>
      </c>
      <c r="D26" s="7"/>
      <c r="E26" s="2"/>
      <c r="F26" s="2"/>
      <c r="G26" s="2"/>
      <c r="H26" s="2"/>
      <c r="O26" s="2">
        <f t="shared" si="20"/>
        <v>0</v>
      </c>
      <c r="AO26" s="2">
        <f>Q26+S26+U26+W26+Y26+AA26+AC26+AE26+AG26+AI26+AK26+AM26</f>
        <v>0</v>
      </c>
      <c r="AP26" s="2">
        <f>R26+T26+V26+X26+Z26+AB26+AD26+AF26+AH26+AJ26+AL26+AN26</f>
        <v>0</v>
      </c>
      <c r="AS26" s="2">
        <f t="shared" si="21"/>
        <v>0</v>
      </c>
      <c r="BC26" s="70">
        <f t="shared" si="22"/>
        <v>0</v>
      </c>
      <c r="BD26" s="70">
        <f t="shared" si="22"/>
        <v>0</v>
      </c>
      <c r="BK26" s="26">
        <f aca="true" t="shared" si="27" ref="BK26:BL43">AW26+AY26+BA26+BC26+BE26+BG26+BI26</f>
        <v>0</v>
      </c>
      <c r="BL26" s="26">
        <f t="shared" si="27"/>
        <v>0</v>
      </c>
      <c r="BN26" s="29">
        <f t="shared" si="19"/>
        <v>0</v>
      </c>
    </row>
    <row r="27" spans="1:66" ht="14.25">
      <c r="A27" s="2"/>
      <c r="B27" s="81" t="s">
        <v>120</v>
      </c>
      <c r="C27" s="2" t="s">
        <v>2</v>
      </c>
      <c r="D27" s="4"/>
      <c r="E27" s="2"/>
      <c r="F27" s="2"/>
      <c r="G27" s="2"/>
      <c r="H27" s="2"/>
      <c r="O27" s="2">
        <f t="shared" si="20"/>
        <v>0</v>
      </c>
      <c r="AO27" s="2">
        <f aca="true" t="shared" si="28" ref="AO27:AP42">Q27+S27+U27+W27+Y27+AA27+AC27+AE27+AG27+AI27+AK27+AM27</f>
        <v>0</v>
      </c>
      <c r="AP27" s="2">
        <f t="shared" si="28"/>
        <v>0</v>
      </c>
      <c r="AS27" s="2">
        <f t="shared" si="21"/>
        <v>0</v>
      </c>
      <c r="BC27" s="70">
        <f t="shared" si="22"/>
        <v>0</v>
      </c>
      <c r="BD27" s="70">
        <f t="shared" si="22"/>
        <v>0</v>
      </c>
      <c r="BK27" s="26">
        <f t="shared" si="27"/>
        <v>0</v>
      </c>
      <c r="BL27" s="26">
        <f t="shared" si="27"/>
        <v>0</v>
      </c>
      <c r="BN27" s="29">
        <f t="shared" si="19"/>
        <v>0</v>
      </c>
    </row>
    <row r="28" spans="1:66" ht="14.25">
      <c r="A28" s="2"/>
      <c r="B28" s="81" t="s">
        <v>121</v>
      </c>
      <c r="C28" s="2" t="s">
        <v>2</v>
      </c>
      <c r="D28" s="4"/>
      <c r="E28" s="2"/>
      <c r="F28" s="2"/>
      <c r="G28" s="2"/>
      <c r="H28" s="2"/>
      <c r="O28" s="2">
        <f t="shared" si="20"/>
        <v>0</v>
      </c>
      <c r="AO28" s="2">
        <f t="shared" si="28"/>
        <v>0</v>
      </c>
      <c r="AP28" s="2">
        <f t="shared" si="28"/>
        <v>0</v>
      </c>
      <c r="AS28" s="2">
        <f t="shared" si="21"/>
        <v>0</v>
      </c>
      <c r="BC28" s="70">
        <f t="shared" si="22"/>
        <v>0</v>
      </c>
      <c r="BD28" s="70">
        <f t="shared" si="22"/>
        <v>0</v>
      </c>
      <c r="BK28" s="26">
        <f t="shared" si="27"/>
        <v>0</v>
      </c>
      <c r="BL28" s="26">
        <f t="shared" si="27"/>
        <v>0</v>
      </c>
      <c r="BN28" s="29">
        <f t="shared" si="19"/>
        <v>0</v>
      </c>
    </row>
    <row r="29" spans="1:66" ht="12.75">
      <c r="A29" s="2"/>
      <c r="B29" s="52" t="s">
        <v>150</v>
      </c>
      <c r="C29" s="2" t="s">
        <v>2</v>
      </c>
      <c r="D29" s="73">
        <v>4</v>
      </c>
      <c r="E29" s="2"/>
      <c r="F29" s="2"/>
      <c r="G29" s="2"/>
      <c r="H29" s="2">
        <f>D29*100</f>
        <v>400</v>
      </c>
      <c r="O29" s="2">
        <f t="shared" si="20"/>
        <v>400</v>
      </c>
      <c r="AA29">
        <v>6</v>
      </c>
      <c r="AB29">
        <f>AA29*69.4</f>
        <v>416.40000000000003</v>
      </c>
      <c r="AO29" s="2">
        <f t="shared" si="28"/>
        <v>6</v>
      </c>
      <c r="AP29" s="2">
        <f t="shared" si="28"/>
        <v>416.40000000000003</v>
      </c>
      <c r="AS29" s="2">
        <f t="shared" si="21"/>
        <v>-16.400000000000034</v>
      </c>
      <c r="BC29" s="70">
        <f t="shared" si="22"/>
        <v>6</v>
      </c>
      <c r="BD29" s="70">
        <f t="shared" si="22"/>
        <v>416.40000000000003</v>
      </c>
      <c r="BK29" s="26">
        <f t="shared" si="27"/>
        <v>6</v>
      </c>
      <c r="BL29" s="26">
        <f t="shared" si="27"/>
        <v>416.40000000000003</v>
      </c>
      <c r="BN29" s="29">
        <f t="shared" si="19"/>
        <v>0</v>
      </c>
    </row>
    <row r="30" spans="1:66" ht="12.75">
      <c r="A30" s="2"/>
      <c r="B30" s="52" t="s">
        <v>21</v>
      </c>
      <c r="C30" s="2" t="s">
        <v>2</v>
      </c>
      <c r="D30" s="73">
        <v>30</v>
      </c>
      <c r="E30" s="2"/>
      <c r="F30" s="2"/>
      <c r="G30" s="2"/>
      <c r="H30" s="2">
        <f>D30*100</f>
        <v>3000</v>
      </c>
      <c r="O30" s="2">
        <f t="shared" si="20"/>
        <v>3000</v>
      </c>
      <c r="AA30">
        <v>36</v>
      </c>
      <c r="AB30">
        <f>AA30*82</f>
        <v>2952</v>
      </c>
      <c r="AO30" s="2">
        <f t="shared" si="28"/>
        <v>36</v>
      </c>
      <c r="AP30" s="2">
        <f t="shared" si="28"/>
        <v>2952</v>
      </c>
      <c r="AS30" s="2">
        <f t="shared" si="21"/>
        <v>48</v>
      </c>
      <c r="BC30" s="70">
        <f t="shared" si="22"/>
        <v>36</v>
      </c>
      <c r="BD30" s="70">
        <f t="shared" si="22"/>
        <v>2952</v>
      </c>
      <c r="BK30" s="26">
        <f t="shared" si="27"/>
        <v>36</v>
      </c>
      <c r="BL30" s="26">
        <f t="shared" si="27"/>
        <v>2952</v>
      </c>
      <c r="BN30" s="29">
        <f t="shared" si="19"/>
        <v>0</v>
      </c>
    </row>
    <row r="31" spans="1:66" ht="12.75">
      <c r="A31" s="2"/>
      <c r="B31" s="52" t="s">
        <v>315</v>
      </c>
      <c r="C31" s="2" t="s">
        <v>2</v>
      </c>
      <c r="D31" s="73">
        <v>1</v>
      </c>
      <c r="E31" s="2"/>
      <c r="F31" s="2"/>
      <c r="G31" s="2"/>
      <c r="H31" s="2">
        <f>D31*150</f>
        <v>150</v>
      </c>
      <c r="O31" s="2">
        <f t="shared" si="20"/>
        <v>150</v>
      </c>
      <c r="AA31">
        <v>4</v>
      </c>
      <c r="AB31">
        <f>AA31*79.7</f>
        <v>318.8</v>
      </c>
      <c r="AO31" s="2">
        <f t="shared" si="28"/>
        <v>4</v>
      </c>
      <c r="AP31" s="2">
        <f t="shared" si="28"/>
        <v>318.8</v>
      </c>
      <c r="AS31" s="2">
        <f t="shared" si="21"/>
        <v>-168.8</v>
      </c>
      <c r="BC31" s="70">
        <f t="shared" si="22"/>
        <v>4</v>
      </c>
      <c r="BD31" s="70">
        <f t="shared" si="22"/>
        <v>318.8</v>
      </c>
      <c r="BK31" s="26">
        <f t="shared" si="27"/>
        <v>4</v>
      </c>
      <c r="BL31" s="26">
        <f t="shared" si="27"/>
        <v>318.8</v>
      </c>
      <c r="BN31" s="29">
        <f t="shared" si="19"/>
        <v>0</v>
      </c>
    </row>
    <row r="32" spans="1:66" ht="12.75">
      <c r="A32" s="2"/>
      <c r="B32" s="52" t="s">
        <v>22</v>
      </c>
      <c r="C32" s="2" t="s">
        <v>23</v>
      </c>
      <c r="D32" s="2"/>
      <c r="E32" s="2"/>
      <c r="F32" s="2"/>
      <c r="G32" s="2"/>
      <c r="H32" s="2"/>
      <c r="O32" s="2">
        <f t="shared" si="20"/>
        <v>0</v>
      </c>
      <c r="AO32" s="2">
        <f t="shared" si="28"/>
        <v>0</v>
      </c>
      <c r="AP32" s="2">
        <f t="shared" si="28"/>
        <v>0</v>
      </c>
      <c r="AS32" s="2">
        <f t="shared" si="21"/>
        <v>0</v>
      </c>
      <c r="BC32" s="70">
        <f t="shared" si="22"/>
        <v>0</v>
      </c>
      <c r="BD32" s="70">
        <f t="shared" si="22"/>
        <v>0</v>
      </c>
      <c r="BK32" s="26">
        <f t="shared" si="27"/>
        <v>0</v>
      </c>
      <c r="BL32" s="26">
        <f t="shared" si="27"/>
        <v>0</v>
      </c>
      <c r="BN32" s="29">
        <f t="shared" si="19"/>
        <v>0</v>
      </c>
    </row>
    <row r="33" spans="1:66" ht="12.75">
      <c r="A33" s="2"/>
      <c r="B33" s="52" t="s">
        <v>148</v>
      </c>
      <c r="C33" s="2" t="s">
        <v>2</v>
      </c>
      <c r="D33" s="2"/>
      <c r="E33" s="2"/>
      <c r="F33" s="2"/>
      <c r="G33" s="2"/>
      <c r="H33" s="2"/>
      <c r="O33" s="2">
        <f t="shared" si="20"/>
        <v>0</v>
      </c>
      <c r="AO33" s="2">
        <f t="shared" si="28"/>
        <v>0</v>
      </c>
      <c r="AP33" s="2">
        <f t="shared" si="28"/>
        <v>0</v>
      </c>
      <c r="AS33" s="2">
        <f t="shared" si="21"/>
        <v>0</v>
      </c>
      <c r="BC33" s="70">
        <f t="shared" si="22"/>
        <v>0</v>
      </c>
      <c r="BD33" s="70">
        <f t="shared" si="22"/>
        <v>0</v>
      </c>
      <c r="BK33" s="26">
        <f t="shared" si="27"/>
        <v>0</v>
      </c>
      <c r="BL33" s="26">
        <f t="shared" si="27"/>
        <v>0</v>
      </c>
      <c r="BN33" s="29">
        <f t="shared" si="19"/>
        <v>0</v>
      </c>
    </row>
    <row r="34" spans="1:66" ht="12.75">
      <c r="A34" s="2"/>
      <c r="B34" s="52" t="s">
        <v>149</v>
      </c>
      <c r="C34" s="2" t="s">
        <v>2</v>
      </c>
      <c r="D34" s="2"/>
      <c r="E34" s="2"/>
      <c r="F34" s="2"/>
      <c r="G34" s="2"/>
      <c r="H34" s="2"/>
      <c r="O34" s="2">
        <f t="shared" si="20"/>
        <v>0</v>
      </c>
      <c r="AO34" s="2">
        <f t="shared" si="28"/>
        <v>0</v>
      </c>
      <c r="AP34" s="2">
        <f t="shared" si="28"/>
        <v>0</v>
      </c>
      <c r="AS34" s="2">
        <f t="shared" si="21"/>
        <v>0</v>
      </c>
      <c r="BC34" s="70">
        <f t="shared" si="22"/>
        <v>0</v>
      </c>
      <c r="BD34" s="70">
        <f t="shared" si="22"/>
        <v>0</v>
      </c>
      <c r="BK34" s="26">
        <f t="shared" si="27"/>
        <v>0</v>
      </c>
      <c r="BL34" s="26">
        <f t="shared" si="27"/>
        <v>0</v>
      </c>
      <c r="BN34" s="29">
        <f t="shared" si="19"/>
        <v>0</v>
      </c>
    </row>
    <row r="35" spans="1:66" ht="12.75">
      <c r="A35" s="2"/>
      <c r="B35" s="52" t="s">
        <v>178</v>
      </c>
      <c r="C35" s="2" t="s">
        <v>2</v>
      </c>
      <c r="D35" s="2"/>
      <c r="E35" s="2"/>
      <c r="F35" s="2"/>
      <c r="G35" s="2"/>
      <c r="H35" s="2"/>
      <c r="O35" s="2">
        <f t="shared" si="20"/>
        <v>0</v>
      </c>
      <c r="AO35" s="2">
        <f t="shared" si="28"/>
        <v>0</v>
      </c>
      <c r="AP35" s="2">
        <f t="shared" si="28"/>
        <v>0</v>
      </c>
      <c r="AS35" s="2">
        <f t="shared" si="21"/>
        <v>0</v>
      </c>
      <c r="BC35" s="70">
        <f t="shared" si="22"/>
        <v>0</v>
      </c>
      <c r="BD35" s="70">
        <f t="shared" si="22"/>
        <v>0</v>
      </c>
      <c r="BK35" s="26">
        <f t="shared" si="27"/>
        <v>0</v>
      </c>
      <c r="BL35" s="26">
        <f t="shared" si="27"/>
        <v>0</v>
      </c>
      <c r="BN35" s="29">
        <f t="shared" si="19"/>
        <v>0</v>
      </c>
    </row>
    <row r="36" spans="1:66" ht="12.75">
      <c r="A36" s="2"/>
      <c r="B36" s="52" t="s">
        <v>309</v>
      </c>
      <c r="C36" s="2" t="s">
        <v>2</v>
      </c>
      <c r="D36" s="2"/>
      <c r="E36" s="2"/>
      <c r="F36" s="2"/>
      <c r="G36" s="2"/>
      <c r="H36" s="2"/>
      <c r="O36" s="2">
        <f t="shared" si="20"/>
        <v>0</v>
      </c>
      <c r="AO36" s="2">
        <f t="shared" si="28"/>
        <v>0</v>
      </c>
      <c r="AP36" s="2">
        <f t="shared" si="28"/>
        <v>0</v>
      </c>
      <c r="AS36" s="2">
        <f t="shared" si="21"/>
        <v>0</v>
      </c>
      <c r="BC36" s="70">
        <f t="shared" si="22"/>
        <v>0</v>
      </c>
      <c r="BD36" s="70">
        <f t="shared" si="22"/>
        <v>0</v>
      </c>
      <c r="BK36" s="26">
        <f t="shared" si="27"/>
        <v>0</v>
      </c>
      <c r="BL36" s="26">
        <f t="shared" si="27"/>
        <v>0</v>
      </c>
      <c r="BN36" s="29">
        <f t="shared" si="19"/>
        <v>0</v>
      </c>
    </row>
    <row r="37" spans="1:66" ht="12.75">
      <c r="A37" s="2"/>
      <c r="B37" s="52" t="s">
        <v>308</v>
      </c>
      <c r="C37" s="2" t="s">
        <v>2</v>
      </c>
      <c r="D37" s="2"/>
      <c r="E37" s="2"/>
      <c r="F37" s="2"/>
      <c r="G37" s="2"/>
      <c r="H37" s="2"/>
      <c r="O37" s="2">
        <f t="shared" si="20"/>
        <v>0</v>
      </c>
      <c r="AO37" s="2">
        <f t="shared" si="28"/>
        <v>0</v>
      </c>
      <c r="AP37" s="2">
        <f t="shared" si="28"/>
        <v>0</v>
      </c>
      <c r="AS37" s="2">
        <f t="shared" si="21"/>
        <v>0</v>
      </c>
      <c r="BC37" s="70">
        <f t="shared" si="22"/>
        <v>0</v>
      </c>
      <c r="BD37" s="70">
        <f t="shared" si="22"/>
        <v>0</v>
      </c>
      <c r="BK37" s="26">
        <f t="shared" si="27"/>
        <v>0</v>
      </c>
      <c r="BL37" s="26">
        <f t="shared" si="27"/>
        <v>0</v>
      </c>
      <c r="BN37" s="29">
        <f t="shared" si="19"/>
        <v>0</v>
      </c>
    </row>
    <row r="38" spans="1:66" ht="12.75">
      <c r="A38" s="2"/>
      <c r="B38" s="52" t="s">
        <v>307</v>
      </c>
      <c r="C38" s="2" t="s">
        <v>2</v>
      </c>
      <c r="D38" s="2"/>
      <c r="E38" s="2"/>
      <c r="F38" s="2"/>
      <c r="G38" s="2"/>
      <c r="H38" s="2"/>
      <c r="O38" s="2">
        <f t="shared" si="20"/>
        <v>0</v>
      </c>
      <c r="AO38" s="2">
        <f t="shared" si="28"/>
        <v>0</v>
      </c>
      <c r="AP38" s="2">
        <f t="shared" si="28"/>
        <v>0</v>
      </c>
      <c r="AS38" s="2">
        <f t="shared" si="21"/>
        <v>0</v>
      </c>
      <c r="BC38" s="70">
        <f t="shared" si="22"/>
        <v>0</v>
      </c>
      <c r="BD38" s="70">
        <f t="shared" si="22"/>
        <v>0</v>
      </c>
      <c r="BK38" s="26">
        <f t="shared" si="27"/>
        <v>0</v>
      </c>
      <c r="BL38" s="26">
        <f t="shared" si="27"/>
        <v>0</v>
      </c>
      <c r="BN38" s="29">
        <f t="shared" si="19"/>
        <v>0</v>
      </c>
    </row>
    <row r="39" spans="1:66" ht="12.75">
      <c r="A39" s="2"/>
      <c r="B39" s="52" t="s">
        <v>306</v>
      </c>
      <c r="C39" s="2" t="s">
        <v>2</v>
      </c>
      <c r="D39" s="2"/>
      <c r="E39" s="2"/>
      <c r="F39" s="2"/>
      <c r="G39" s="2"/>
      <c r="H39" s="2"/>
      <c r="O39" s="2">
        <f t="shared" si="20"/>
        <v>0</v>
      </c>
      <c r="AO39" s="2">
        <f t="shared" si="28"/>
        <v>0</v>
      </c>
      <c r="AP39" s="2">
        <f t="shared" si="28"/>
        <v>0</v>
      </c>
      <c r="AS39" s="2">
        <f t="shared" si="21"/>
        <v>0</v>
      </c>
      <c r="BC39" s="70">
        <f t="shared" si="22"/>
        <v>0</v>
      </c>
      <c r="BD39" s="70">
        <f t="shared" si="22"/>
        <v>0</v>
      </c>
      <c r="BK39" s="26">
        <f t="shared" si="27"/>
        <v>0</v>
      </c>
      <c r="BL39" s="26">
        <f t="shared" si="27"/>
        <v>0</v>
      </c>
      <c r="BN39" s="29">
        <f t="shared" si="19"/>
        <v>0</v>
      </c>
    </row>
    <row r="40" spans="1:66" ht="12.75">
      <c r="A40" s="2"/>
      <c r="B40" s="52" t="s">
        <v>305</v>
      </c>
      <c r="C40" s="2" t="s">
        <v>2</v>
      </c>
      <c r="D40" s="2"/>
      <c r="E40" s="2"/>
      <c r="F40" s="2"/>
      <c r="G40" s="2"/>
      <c r="H40" s="2"/>
      <c r="O40" s="2">
        <f t="shared" si="20"/>
        <v>0</v>
      </c>
      <c r="AO40" s="2">
        <f t="shared" si="28"/>
        <v>0</v>
      </c>
      <c r="AP40" s="2">
        <f t="shared" si="28"/>
        <v>0</v>
      </c>
      <c r="AS40" s="2">
        <f t="shared" si="21"/>
        <v>0</v>
      </c>
      <c r="BC40" s="70">
        <f t="shared" si="22"/>
        <v>0</v>
      </c>
      <c r="BD40" s="70">
        <f t="shared" si="22"/>
        <v>0</v>
      </c>
      <c r="BK40" s="26">
        <f t="shared" si="27"/>
        <v>0</v>
      </c>
      <c r="BL40" s="26">
        <f t="shared" si="27"/>
        <v>0</v>
      </c>
      <c r="BN40" s="29">
        <f t="shared" si="19"/>
        <v>0</v>
      </c>
    </row>
    <row r="41" spans="1:66" ht="12.75">
      <c r="A41" s="2"/>
      <c r="B41" s="52" t="s">
        <v>304</v>
      </c>
      <c r="C41" s="2" t="s">
        <v>2</v>
      </c>
      <c r="D41" s="2"/>
      <c r="E41" s="2"/>
      <c r="F41" s="2"/>
      <c r="G41" s="2"/>
      <c r="H41" s="2"/>
      <c r="O41" s="2">
        <f t="shared" si="20"/>
        <v>0</v>
      </c>
      <c r="AO41" s="2">
        <f t="shared" si="28"/>
        <v>0</v>
      </c>
      <c r="AP41" s="2">
        <f t="shared" si="28"/>
        <v>0</v>
      </c>
      <c r="AS41" s="2">
        <f t="shared" si="21"/>
        <v>0</v>
      </c>
      <c r="BC41" s="70">
        <f t="shared" si="22"/>
        <v>0</v>
      </c>
      <c r="BD41" s="70">
        <f t="shared" si="22"/>
        <v>0</v>
      </c>
      <c r="BK41" s="26">
        <f t="shared" si="27"/>
        <v>0</v>
      </c>
      <c r="BL41" s="26">
        <f t="shared" si="27"/>
        <v>0</v>
      </c>
      <c r="BN41" s="29">
        <f t="shared" si="19"/>
        <v>0</v>
      </c>
    </row>
    <row r="42" spans="1:66" ht="12.75">
      <c r="A42" s="2"/>
      <c r="B42" s="52" t="s">
        <v>303</v>
      </c>
      <c r="C42" s="2" t="s">
        <v>2</v>
      </c>
      <c r="D42" s="2"/>
      <c r="E42" s="2"/>
      <c r="F42" s="2"/>
      <c r="G42" s="2"/>
      <c r="H42" s="2"/>
      <c r="O42" s="2">
        <f t="shared" si="20"/>
        <v>0</v>
      </c>
      <c r="AO42" s="2">
        <f t="shared" si="28"/>
        <v>0</v>
      </c>
      <c r="AP42" s="2">
        <f t="shared" si="28"/>
        <v>0</v>
      </c>
      <c r="AS42" s="2">
        <f t="shared" si="21"/>
        <v>0</v>
      </c>
      <c r="BC42" s="70">
        <f t="shared" si="22"/>
        <v>0</v>
      </c>
      <c r="BD42" s="70">
        <f t="shared" si="22"/>
        <v>0</v>
      </c>
      <c r="BK42" s="26">
        <f t="shared" si="27"/>
        <v>0</v>
      </c>
      <c r="BL42" s="26">
        <f t="shared" si="27"/>
        <v>0</v>
      </c>
      <c r="BN42" s="29">
        <f t="shared" si="19"/>
        <v>0</v>
      </c>
    </row>
    <row r="43" spans="1:68" ht="12" customHeight="1">
      <c r="A43" s="2"/>
      <c r="B43" s="87"/>
      <c r="C43" s="2" t="s">
        <v>2</v>
      </c>
      <c r="D43" s="26"/>
      <c r="E43" s="26"/>
      <c r="F43" s="26"/>
      <c r="G43" s="26"/>
      <c r="H43" s="26"/>
      <c r="I43" s="19"/>
      <c r="J43" s="19"/>
      <c r="K43" s="19"/>
      <c r="L43" s="19"/>
      <c r="M43" s="19"/>
      <c r="N43" s="19"/>
      <c r="O43" s="26">
        <f t="shared" si="20"/>
        <v>0</v>
      </c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26">
        <f>Q43+S43+U43+W43+Y43+AA43+AC43+AE43+AG43+AI43+AK43+AM43</f>
        <v>0</v>
      </c>
      <c r="AP43" s="26">
        <f>R43+T43+V43+X43+Z43+AB43+AD43+AF43+AH43+AJ43+AL43+AN43</f>
        <v>0</v>
      </c>
      <c r="AQ43" s="19"/>
      <c r="AR43" s="19"/>
      <c r="AS43" s="26">
        <f t="shared" si="21"/>
        <v>0</v>
      </c>
      <c r="AT43" s="19"/>
      <c r="AU43" s="19"/>
      <c r="AV43" s="19"/>
      <c r="AW43" s="19"/>
      <c r="AX43" s="19"/>
      <c r="AY43" s="19"/>
      <c r="AZ43" s="19"/>
      <c r="BA43" s="19"/>
      <c r="BB43" s="19"/>
      <c r="BC43" s="70">
        <f t="shared" si="22"/>
        <v>0</v>
      </c>
      <c r="BD43" s="70">
        <f t="shared" si="22"/>
        <v>0</v>
      </c>
      <c r="BE43" s="19"/>
      <c r="BF43" s="19"/>
      <c r="BG43" s="19"/>
      <c r="BH43" s="19"/>
      <c r="BI43" s="19"/>
      <c r="BJ43" s="19"/>
      <c r="BK43" s="26">
        <f t="shared" si="27"/>
        <v>0</v>
      </c>
      <c r="BL43" s="26">
        <f t="shared" si="27"/>
        <v>0</v>
      </c>
      <c r="BM43" s="19"/>
      <c r="BN43" s="29">
        <f t="shared" si="19"/>
        <v>0</v>
      </c>
      <c r="BO43" s="19"/>
      <c r="BP43" s="19"/>
    </row>
    <row r="44" spans="1:68" ht="14.25">
      <c r="A44" s="6">
        <v>6</v>
      </c>
      <c r="B44" s="61" t="s">
        <v>9</v>
      </c>
      <c r="C44" s="8"/>
      <c r="D44" s="7"/>
      <c r="E44" s="7">
        <f aca="true" t="shared" si="29" ref="E44:N44">SUM(E45:E79)</f>
        <v>0</v>
      </c>
      <c r="F44" s="7">
        <f t="shared" si="29"/>
        <v>0</v>
      </c>
      <c r="G44" s="7">
        <f t="shared" si="29"/>
        <v>0</v>
      </c>
      <c r="H44" s="7">
        <f t="shared" si="29"/>
        <v>9300</v>
      </c>
      <c r="I44" s="7">
        <f t="shared" si="29"/>
        <v>0</v>
      </c>
      <c r="J44" s="7">
        <f t="shared" si="29"/>
        <v>8200</v>
      </c>
      <c r="K44" s="7">
        <f t="shared" si="29"/>
        <v>0</v>
      </c>
      <c r="L44" s="7">
        <f t="shared" si="29"/>
        <v>0</v>
      </c>
      <c r="M44" s="7">
        <f t="shared" si="29"/>
        <v>0</v>
      </c>
      <c r="N44" s="7">
        <f t="shared" si="29"/>
        <v>0</v>
      </c>
      <c r="O44" s="9"/>
      <c r="P44" s="28"/>
      <c r="Q44" s="7">
        <f aca="true" t="shared" si="30" ref="Q44:AN44">SUM(Q45:Q79)</f>
        <v>0</v>
      </c>
      <c r="R44" s="7">
        <f t="shared" si="30"/>
        <v>0</v>
      </c>
      <c r="S44" s="7">
        <f t="shared" si="30"/>
        <v>1</v>
      </c>
      <c r="T44" s="7">
        <f t="shared" si="30"/>
        <v>2950</v>
      </c>
      <c r="U44" s="7">
        <f t="shared" si="30"/>
        <v>0</v>
      </c>
      <c r="V44" s="7">
        <f t="shared" si="30"/>
        <v>0</v>
      </c>
      <c r="W44" s="7">
        <f t="shared" si="30"/>
        <v>0</v>
      </c>
      <c r="X44" s="7">
        <f t="shared" si="30"/>
        <v>0</v>
      </c>
      <c r="Y44" s="7">
        <f t="shared" si="30"/>
        <v>0</v>
      </c>
      <c r="Z44" s="7">
        <f t="shared" si="30"/>
        <v>0</v>
      </c>
      <c r="AA44" s="7">
        <f t="shared" si="30"/>
        <v>0</v>
      </c>
      <c r="AB44" s="7">
        <f t="shared" si="30"/>
        <v>0</v>
      </c>
      <c r="AC44" s="7">
        <f t="shared" si="30"/>
        <v>5</v>
      </c>
      <c r="AD44" s="7">
        <f t="shared" si="30"/>
        <v>5307</v>
      </c>
      <c r="AE44" s="7">
        <f t="shared" si="30"/>
        <v>9</v>
      </c>
      <c r="AF44" s="7">
        <f t="shared" si="30"/>
        <v>9350</v>
      </c>
      <c r="AG44" s="7">
        <f t="shared" si="30"/>
        <v>0</v>
      </c>
      <c r="AH44" s="7">
        <f t="shared" si="30"/>
        <v>0</v>
      </c>
      <c r="AI44" s="7">
        <f t="shared" si="30"/>
        <v>0</v>
      </c>
      <c r="AJ44" s="7">
        <f t="shared" si="30"/>
        <v>0</v>
      </c>
      <c r="AK44" s="7">
        <f t="shared" si="30"/>
        <v>0</v>
      </c>
      <c r="AL44" s="7">
        <f t="shared" si="30"/>
        <v>0</v>
      </c>
      <c r="AM44" s="7">
        <f t="shared" si="30"/>
        <v>14</v>
      </c>
      <c r="AN44" s="7">
        <f t="shared" si="30"/>
        <v>4210</v>
      </c>
      <c r="AO44" s="7">
        <f>SUM(AO45:AO79)</f>
        <v>29</v>
      </c>
      <c r="AP44" s="7">
        <f>SUM(AP45:AP79)</f>
        <v>21817</v>
      </c>
      <c r="AQ44" s="9"/>
      <c r="AR44" s="9"/>
      <c r="AS44" s="7">
        <f>SUM(AS45:AS79)</f>
        <v>-4317</v>
      </c>
      <c r="AT44" s="9"/>
      <c r="AU44" s="9"/>
      <c r="AV44" s="9"/>
      <c r="AW44" s="8">
        <f aca="true" t="shared" si="31" ref="AW44:BL44">SUM(AW45:AW79)</f>
        <v>0</v>
      </c>
      <c r="AX44" s="8">
        <f t="shared" si="31"/>
        <v>0</v>
      </c>
      <c r="AY44" s="8">
        <f t="shared" si="31"/>
        <v>0</v>
      </c>
      <c r="AZ44" s="8">
        <f t="shared" si="31"/>
        <v>0</v>
      </c>
      <c r="BA44" s="8">
        <f t="shared" si="31"/>
        <v>0</v>
      </c>
      <c r="BB44" s="8">
        <f t="shared" si="31"/>
        <v>0</v>
      </c>
      <c r="BC44" s="8">
        <f t="shared" si="31"/>
        <v>29</v>
      </c>
      <c r="BD44" s="8">
        <f t="shared" si="31"/>
        <v>21817</v>
      </c>
      <c r="BE44" s="8">
        <f t="shared" si="31"/>
        <v>0</v>
      </c>
      <c r="BF44" s="8">
        <f t="shared" si="31"/>
        <v>0</v>
      </c>
      <c r="BG44" s="8">
        <f t="shared" si="31"/>
        <v>0</v>
      </c>
      <c r="BH44" s="8">
        <f t="shared" si="31"/>
        <v>0</v>
      </c>
      <c r="BI44" s="8">
        <f t="shared" si="31"/>
        <v>0</v>
      </c>
      <c r="BJ44" s="8">
        <f t="shared" si="31"/>
        <v>0</v>
      </c>
      <c r="BK44" s="8">
        <f t="shared" si="31"/>
        <v>29</v>
      </c>
      <c r="BL44" s="8">
        <f t="shared" si="31"/>
        <v>21817</v>
      </c>
      <c r="BM44" s="8"/>
      <c r="BN44" s="8">
        <f>SUM(BN45:BN79)</f>
        <v>0</v>
      </c>
      <c r="BO44" s="9"/>
      <c r="BP44" s="9"/>
    </row>
    <row r="45" spans="2:66" ht="12.75">
      <c r="B45" s="40" t="s">
        <v>20</v>
      </c>
      <c r="C45" s="5" t="s">
        <v>2</v>
      </c>
      <c r="D45" s="19"/>
      <c r="I45" s="19"/>
      <c r="O45" s="2">
        <f t="shared" si="20"/>
        <v>0</v>
      </c>
      <c r="AO45" s="2">
        <f aca="true" t="shared" si="32" ref="AO45:AP60">Q45+S45+U45+W45+Y45+AA45+AC45+AE45+AG45+AI45+AK45+AM45</f>
        <v>0</v>
      </c>
      <c r="AP45" s="2">
        <f t="shared" si="32"/>
        <v>0</v>
      </c>
      <c r="AS45" s="2">
        <f t="shared" si="21"/>
        <v>0</v>
      </c>
      <c r="BC45" s="70">
        <f t="shared" si="22"/>
        <v>0</v>
      </c>
      <c r="BD45" s="70">
        <f t="shared" si="22"/>
        <v>0</v>
      </c>
      <c r="BK45" s="26">
        <f aca="true" t="shared" si="33" ref="BK45:BL79">AW45+AY45+BA45+BC45+BE45+BG45+BI45</f>
        <v>0</v>
      </c>
      <c r="BL45" s="26">
        <f t="shared" si="33"/>
        <v>0</v>
      </c>
      <c r="BN45" s="29">
        <f t="shared" si="19"/>
        <v>0</v>
      </c>
    </row>
    <row r="46" spans="2:66" ht="12.75">
      <c r="B46" s="40" t="s">
        <v>170</v>
      </c>
      <c r="C46" s="5" t="s">
        <v>2</v>
      </c>
      <c r="I46" s="19"/>
      <c r="O46" s="2">
        <f t="shared" si="20"/>
        <v>0</v>
      </c>
      <c r="AE46">
        <v>2</v>
      </c>
      <c r="AF46">
        <v>200</v>
      </c>
      <c r="AO46" s="2">
        <f t="shared" si="32"/>
        <v>2</v>
      </c>
      <c r="AP46" s="2">
        <f t="shared" si="32"/>
        <v>200</v>
      </c>
      <c r="AS46" s="2">
        <f t="shared" si="21"/>
        <v>-200</v>
      </c>
      <c r="BC46" s="70">
        <f t="shared" si="22"/>
        <v>2</v>
      </c>
      <c r="BD46" s="70">
        <f t="shared" si="22"/>
        <v>200</v>
      </c>
      <c r="BK46" s="26">
        <f t="shared" si="33"/>
        <v>2</v>
      </c>
      <c r="BL46" s="26">
        <f t="shared" si="33"/>
        <v>200</v>
      </c>
      <c r="BN46" s="29">
        <f t="shared" si="19"/>
        <v>0</v>
      </c>
    </row>
    <row r="47" spans="2:66" ht="12.75">
      <c r="B47" s="40" t="s">
        <v>278</v>
      </c>
      <c r="C47" s="5" t="s">
        <v>2</v>
      </c>
      <c r="H47" s="19"/>
      <c r="I47" s="19"/>
      <c r="O47" s="2">
        <f t="shared" si="20"/>
        <v>0</v>
      </c>
      <c r="AO47" s="2">
        <f t="shared" si="32"/>
        <v>0</v>
      </c>
      <c r="AP47" s="2">
        <f t="shared" si="32"/>
        <v>0</v>
      </c>
      <c r="AS47" s="2">
        <f t="shared" si="21"/>
        <v>0</v>
      </c>
      <c r="BC47" s="70">
        <f t="shared" si="22"/>
        <v>0</v>
      </c>
      <c r="BD47" s="70">
        <f t="shared" si="22"/>
        <v>0</v>
      </c>
      <c r="BK47" s="26">
        <f t="shared" si="33"/>
        <v>0</v>
      </c>
      <c r="BL47" s="26">
        <f t="shared" si="33"/>
        <v>0</v>
      </c>
      <c r="BN47" s="29">
        <f t="shared" si="19"/>
        <v>0</v>
      </c>
    </row>
    <row r="48" spans="2:66" ht="12.75">
      <c r="B48" s="40" t="s">
        <v>390</v>
      </c>
      <c r="C48" s="5" t="s">
        <v>2</v>
      </c>
      <c r="H48" s="19"/>
      <c r="I48" s="19"/>
      <c r="O48" s="2">
        <f t="shared" si="20"/>
        <v>0</v>
      </c>
      <c r="AO48" s="2">
        <f t="shared" si="32"/>
        <v>0</v>
      </c>
      <c r="AP48" s="2">
        <f t="shared" si="32"/>
        <v>0</v>
      </c>
      <c r="AS48" s="2">
        <f t="shared" si="21"/>
        <v>0</v>
      </c>
      <c r="BC48" s="70">
        <f t="shared" si="22"/>
        <v>0</v>
      </c>
      <c r="BD48" s="70">
        <f t="shared" si="22"/>
        <v>0</v>
      </c>
      <c r="BK48" s="26">
        <f t="shared" si="33"/>
        <v>0</v>
      </c>
      <c r="BL48" s="26">
        <f t="shared" si="33"/>
        <v>0</v>
      </c>
      <c r="BN48" s="29">
        <f t="shared" si="19"/>
        <v>0</v>
      </c>
    </row>
    <row r="49" spans="2:66" ht="12.75">
      <c r="B49" s="40" t="s">
        <v>259</v>
      </c>
      <c r="C49" s="5" t="s">
        <v>2</v>
      </c>
      <c r="H49" s="19"/>
      <c r="I49" s="19"/>
      <c r="O49" s="2">
        <f t="shared" si="20"/>
        <v>0</v>
      </c>
      <c r="AC49">
        <f>1+1+1</f>
        <v>3</v>
      </c>
      <c r="AD49">
        <f>275+260+260</f>
        <v>795</v>
      </c>
      <c r="AO49" s="2">
        <f t="shared" si="32"/>
        <v>3</v>
      </c>
      <c r="AP49" s="2">
        <f t="shared" si="32"/>
        <v>795</v>
      </c>
      <c r="AS49" s="2">
        <f t="shared" si="21"/>
        <v>-795</v>
      </c>
      <c r="BC49" s="70">
        <f t="shared" si="22"/>
        <v>3</v>
      </c>
      <c r="BD49" s="70">
        <f t="shared" si="22"/>
        <v>795</v>
      </c>
      <c r="BK49" s="26">
        <f t="shared" si="33"/>
        <v>3</v>
      </c>
      <c r="BL49" s="26">
        <f t="shared" si="33"/>
        <v>795</v>
      </c>
      <c r="BN49" s="29">
        <f t="shared" si="19"/>
        <v>0</v>
      </c>
    </row>
    <row r="50" spans="2:66" ht="12.75">
      <c r="B50" s="40" t="s">
        <v>241</v>
      </c>
      <c r="C50" s="5" t="s">
        <v>2</v>
      </c>
      <c r="H50" s="19"/>
      <c r="I50" s="19"/>
      <c r="O50" s="2">
        <f t="shared" si="20"/>
        <v>0</v>
      </c>
      <c r="AO50" s="2">
        <f t="shared" si="32"/>
        <v>0</v>
      </c>
      <c r="AP50" s="2">
        <f t="shared" si="32"/>
        <v>0</v>
      </c>
      <c r="AS50" s="2">
        <f t="shared" si="21"/>
        <v>0</v>
      </c>
      <c r="BC50" s="70">
        <f t="shared" si="22"/>
        <v>0</v>
      </c>
      <c r="BD50" s="70">
        <f t="shared" si="22"/>
        <v>0</v>
      </c>
      <c r="BK50" s="26">
        <f t="shared" si="33"/>
        <v>0</v>
      </c>
      <c r="BL50" s="26">
        <f t="shared" si="33"/>
        <v>0</v>
      </c>
      <c r="BN50" s="29">
        <f t="shared" si="19"/>
        <v>0</v>
      </c>
    </row>
    <row r="51" spans="2:66" ht="12.75">
      <c r="B51" s="40" t="s">
        <v>177</v>
      </c>
      <c r="C51" s="5" t="s">
        <v>2</v>
      </c>
      <c r="D51">
        <v>3</v>
      </c>
      <c r="H51" s="19">
        <v>600</v>
      </c>
      <c r="I51" s="19"/>
      <c r="O51" s="2">
        <f t="shared" si="20"/>
        <v>600</v>
      </c>
      <c r="AE51">
        <f>2+1</f>
        <v>3</v>
      </c>
      <c r="AF51">
        <f>130+220</f>
        <v>350</v>
      </c>
      <c r="AO51" s="2">
        <f t="shared" si="32"/>
        <v>3</v>
      </c>
      <c r="AP51" s="2">
        <f t="shared" si="32"/>
        <v>350</v>
      </c>
      <c r="AS51" s="2">
        <f t="shared" si="21"/>
        <v>250</v>
      </c>
      <c r="BC51" s="70">
        <f t="shared" si="22"/>
        <v>3</v>
      </c>
      <c r="BD51" s="70">
        <f t="shared" si="22"/>
        <v>350</v>
      </c>
      <c r="BK51" s="26">
        <f t="shared" si="33"/>
        <v>3</v>
      </c>
      <c r="BL51" s="26">
        <f t="shared" si="33"/>
        <v>350</v>
      </c>
      <c r="BN51" s="29">
        <f t="shared" si="19"/>
        <v>0</v>
      </c>
    </row>
    <row r="52" spans="2:66" ht="12.75">
      <c r="B52" s="40" t="s">
        <v>318</v>
      </c>
      <c r="C52" s="5" t="s">
        <v>2</v>
      </c>
      <c r="H52" s="19"/>
      <c r="I52" s="19"/>
      <c r="O52" s="2">
        <f t="shared" si="20"/>
        <v>0</v>
      </c>
      <c r="AO52" s="2">
        <f t="shared" si="32"/>
        <v>0</v>
      </c>
      <c r="AP52" s="2">
        <f t="shared" si="32"/>
        <v>0</v>
      </c>
      <c r="AS52" s="2">
        <f t="shared" si="21"/>
        <v>0</v>
      </c>
      <c r="BC52" s="70">
        <f t="shared" si="22"/>
        <v>0</v>
      </c>
      <c r="BD52" s="70">
        <f t="shared" si="22"/>
        <v>0</v>
      </c>
      <c r="BK52" s="26">
        <f t="shared" si="33"/>
        <v>0</v>
      </c>
      <c r="BL52" s="26">
        <f t="shared" si="33"/>
        <v>0</v>
      </c>
      <c r="BN52" s="29">
        <f t="shared" si="19"/>
        <v>0</v>
      </c>
    </row>
    <row r="53" spans="2:66" ht="12.75">
      <c r="B53" s="40" t="s">
        <v>321</v>
      </c>
      <c r="C53" s="5" t="s">
        <v>2</v>
      </c>
      <c r="H53" s="19"/>
      <c r="I53" s="19"/>
      <c r="O53" s="2">
        <f t="shared" si="20"/>
        <v>0</v>
      </c>
      <c r="AO53" s="2">
        <f t="shared" si="32"/>
        <v>0</v>
      </c>
      <c r="AP53" s="2">
        <f t="shared" si="32"/>
        <v>0</v>
      </c>
      <c r="AS53" s="2">
        <f>O53-AP53</f>
        <v>0</v>
      </c>
      <c r="BC53" s="70">
        <f t="shared" si="22"/>
        <v>0</v>
      </c>
      <c r="BD53" s="70">
        <f t="shared" si="22"/>
        <v>0</v>
      </c>
      <c r="BK53" s="26">
        <f t="shared" si="33"/>
        <v>0</v>
      </c>
      <c r="BL53" s="26">
        <f t="shared" si="33"/>
        <v>0</v>
      </c>
      <c r="BN53" s="29">
        <f t="shared" si="19"/>
        <v>0</v>
      </c>
    </row>
    <row r="54" spans="2:66" ht="12.75">
      <c r="B54" s="40" t="s">
        <v>257</v>
      </c>
      <c r="C54" s="5" t="s">
        <v>2</v>
      </c>
      <c r="H54" s="19"/>
      <c r="I54" s="19"/>
      <c r="O54" s="2">
        <f t="shared" si="20"/>
        <v>0</v>
      </c>
      <c r="AM54">
        <v>1</v>
      </c>
      <c r="AN54">
        <v>630</v>
      </c>
      <c r="AO54" s="2">
        <f t="shared" si="32"/>
        <v>1</v>
      </c>
      <c r="AP54" s="2">
        <f t="shared" si="32"/>
        <v>630</v>
      </c>
      <c r="AS54" s="2">
        <f t="shared" si="21"/>
        <v>-630</v>
      </c>
      <c r="BC54" s="70">
        <f t="shared" si="22"/>
        <v>1</v>
      </c>
      <c r="BD54" s="70">
        <f t="shared" si="22"/>
        <v>630</v>
      </c>
      <c r="BK54" s="26">
        <f t="shared" si="33"/>
        <v>1</v>
      </c>
      <c r="BL54" s="26">
        <f t="shared" si="33"/>
        <v>630</v>
      </c>
      <c r="BN54" s="29">
        <f t="shared" si="19"/>
        <v>0</v>
      </c>
    </row>
    <row r="55" spans="2:66" ht="12.75">
      <c r="B55" s="40" t="s">
        <v>380</v>
      </c>
      <c r="C55" s="5" t="s">
        <v>2</v>
      </c>
      <c r="H55" s="19"/>
      <c r="I55" s="19"/>
      <c r="O55" s="2">
        <f t="shared" si="20"/>
        <v>0</v>
      </c>
      <c r="AO55" s="2">
        <f t="shared" si="32"/>
        <v>0</v>
      </c>
      <c r="AP55" s="2">
        <f t="shared" si="32"/>
        <v>0</v>
      </c>
      <c r="AS55" s="2">
        <f t="shared" si="21"/>
        <v>0</v>
      </c>
      <c r="BC55" s="70">
        <f t="shared" si="22"/>
        <v>0</v>
      </c>
      <c r="BD55" s="70">
        <f t="shared" si="22"/>
        <v>0</v>
      </c>
      <c r="BK55" s="26">
        <f t="shared" si="33"/>
        <v>0</v>
      </c>
      <c r="BL55" s="26">
        <f t="shared" si="33"/>
        <v>0</v>
      </c>
      <c r="BN55" s="29">
        <f t="shared" si="19"/>
        <v>0</v>
      </c>
    </row>
    <row r="56" spans="2:66" ht="12.75">
      <c r="B56" s="40" t="s">
        <v>326</v>
      </c>
      <c r="C56" s="5" t="s">
        <v>2</v>
      </c>
      <c r="H56" s="19"/>
      <c r="I56" s="19"/>
      <c r="O56" s="2">
        <f t="shared" si="20"/>
        <v>0</v>
      </c>
      <c r="AO56" s="2">
        <f t="shared" si="32"/>
        <v>0</v>
      </c>
      <c r="AP56" s="2">
        <f t="shared" si="32"/>
        <v>0</v>
      </c>
      <c r="AS56" s="2">
        <f t="shared" si="21"/>
        <v>0</v>
      </c>
      <c r="BC56" s="70">
        <f t="shared" si="22"/>
        <v>0</v>
      </c>
      <c r="BD56" s="70">
        <f t="shared" si="22"/>
        <v>0</v>
      </c>
      <c r="BK56" s="26">
        <f t="shared" si="33"/>
        <v>0</v>
      </c>
      <c r="BL56" s="26">
        <f t="shared" si="33"/>
        <v>0</v>
      </c>
      <c r="BN56" s="29">
        <f t="shared" si="19"/>
        <v>0</v>
      </c>
    </row>
    <row r="57" spans="2:66" ht="12.75">
      <c r="B57" s="40" t="s">
        <v>122</v>
      </c>
      <c r="C57" s="5" t="s">
        <v>2</v>
      </c>
      <c r="H57" s="19"/>
      <c r="I57" s="19"/>
      <c r="O57" s="2">
        <f t="shared" si="20"/>
        <v>0</v>
      </c>
      <c r="AO57" s="2">
        <f t="shared" si="32"/>
        <v>0</v>
      </c>
      <c r="AP57" s="2">
        <f t="shared" si="32"/>
        <v>0</v>
      </c>
      <c r="AS57" s="2">
        <f t="shared" si="21"/>
        <v>0</v>
      </c>
      <c r="BC57" s="70">
        <f t="shared" si="22"/>
        <v>0</v>
      </c>
      <c r="BD57" s="70">
        <f t="shared" si="22"/>
        <v>0</v>
      </c>
      <c r="BK57" s="26">
        <f t="shared" si="33"/>
        <v>0</v>
      </c>
      <c r="BL57" s="26">
        <f t="shared" si="33"/>
        <v>0</v>
      </c>
      <c r="BN57" s="29">
        <f t="shared" si="19"/>
        <v>0</v>
      </c>
    </row>
    <row r="58" spans="2:66" ht="12.75">
      <c r="B58" s="40" t="s">
        <v>325</v>
      </c>
      <c r="C58" s="5" t="s">
        <v>2</v>
      </c>
      <c r="D58">
        <v>1</v>
      </c>
      <c r="H58" s="19">
        <v>500</v>
      </c>
      <c r="I58" s="19"/>
      <c r="O58" s="2">
        <f t="shared" si="20"/>
        <v>500</v>
      </c>
      <c r="AO58" s="2">
        <f t="shared" si="32"/>
        <v>0</v>
      </c>
      <c r="AP58" s="2">
        <f t="shared" si="32"/>
        <v>0</v>
      </c>
      <c r="AS58" s="2">
        <f t="shared" si="21"/>
        <v>500</v>
      </c>
      <c r="BC58" s="70">
        <f t="shared" si="22"/>
        <v>0</v>
      </c>
      <c r="BD58" s="70">
        <f t="shared" si="22"/>
        <v>0</v>
      </c>
      <c r="BK58" s="26">
        <f t="shared" si="33"/>
        <v>0</v>
      </c>
      <c r="BL58" s="26">
        <f t="shared" si="33"/>
        <v>0</v>
      </c>
      <c r="BN58" s="29">
        <f t="shared" si="19"/>
        <v>0</v>
      </c>
    </row>
    <row r="59" spans="2:66" ht="12.75">
      <c r="B59" s="40" t="s">
        <v>319</v>
      </c>
      <c r="C59" s="5" t="s">
        <v>2</v>
      </c>
      <c r="H59" s="19"/>
      <c r="I59" s="19"/>
      <c r="O59" s="2">
        <f t="shared" si="20"/>
        <v>0</v>
      </c>
      <c r="AO59" s="2">
        <f t="shared" si="32"/>
        <v>0</v>
      </c>
      <c r="AP59" s="2">
        <f t="shared" si="32"/>
        <v>0</v>
      </c>
      <c r="AS59" s="2">
        <f t="shared" si="21"/>
        <v>0</v>
      </c>
      <c r="BC59" s="70">
        <f t="shared" si="22"/>
        <v>0</v>
      </c>
      <c r="BD59" s="70">
        <f t="shared" si="22"/>
        <v>0</v>
      </c>
      <c r="BK59" s="26">
        <f t="shared" si="33"/>
        <v>0</v>
      </c>
      <c r="BL59" s="26">
        <f t="shared" si="33"/>
        <v>0</v>
      </c>
      <c r="BN59" s="29">
        <f t="shared" si="19"/>
        <v>0</v>
      </c>
    </row>
    <row r="60" spans="2:66" ht="12.75">
      <c r="B60" s="40" t="s">
        <v>324</v>
      </c>
      <c r="C60" s="5" t="s">
        <v>2</v>
      </c>
      <c r="D60">
        <v>1</v>
      </c>
      <c r="H60" s="19">
        <v>200</v>
      </c>
      <c r="I60" s="19"/>
      <c r="O60" s="2">
        <f t="shared" si="20"/>
        <v>200</v>
      </c>
      <c r="AO60" s="2">
        <f t="shared" si="32"/>
        <v>0</v>
      </c>
      <c r="AP60" s="2">
        <f t="shared" si="32"/>
        <v>0</v>
      </c>
      <c r="AS60" s="2">
        <f t="shared" si="21"/>
        <v>200</v>
      </c>
      <c r="BC60" s="70">
        <f t="shared" si="22"/>
        <v>0</v>
      </c>
      <c r="BD60" s="70">
        <f t="shared" si="22"/>
        <v>0</v>
      </c>
      <c r="BK60" s="26">
        <f t="shared" si="33"/>
        <v>0</v>
      </c>
      <c r="BL60" s="26">
        <f t="shared" si="33"/>
        <v>0</v>
      </c>
      <c r="BN60" s="29">
        <f t="shared" si="19"/>
        <v>0</v>
      </c>
    </row>
    <row r="61" spans="2:66" ht="12.75">
      <c r="B61" s="40" t="s">
        <v>323</v>
      </c>
      <c r="C61" s="5" t="s">
        <v>2</v>
      </c>
      <c r="D61">
        <v>1</v>
      </c>
      <c r="H61" s="19">
        <v>3000</v>
      </c>
      <c r="I61" s="19"/>
      <c r="O61" s="2">
        <f t="shared" si="20"/>
        <v>3000</v>
      </c>
      <c r="AO61" s="2">
        <f aca="true" t="shared" si="34" ref="AO61:AO70">Q61+S61+U61+W61+Y61+AA61+AC61+AE61+AG61+AI61+AK61+AM61</f>
        <v>0</v>
      </c>
      <c r="AP61" s="2">
        <f aca="true" t="shared" si="35" ref="AP61:AP70">R61+T61+V61+X61+Z61+AB61+AD61+AF61+AH61+AJ61+AL61+AN61</f>
        <v>0</v>
      </c>
      <c r="AS61" s="2">
        <f t="shared" si="21"/>
        <v>3000</v>
      </c>
      <c r="BC61" s="70">
        <f t="shared" si="22"/>
        <v>0</v>
      </c>
      <c r="BD61" s="70">
        <f t="shared" si="22"/>
        <v>0</v>
      </c>
      <c r="BK61" s="26">
        <f t="shared" si="33"/>
        <v>0</v>
      </c>
      <c r="BL61" s="26">
        <f t="shared" si="33"/>
        <v>0</v>
      </c>
      <c r="BN61" s="29">
        <f t="shared" si="19"/>
        <v>0</v>
      </c>
    </row>
    <row r="62" spans="2:66" ht="12.75">
      <c r="B62" s="40" t="s">
        <v>322</v>
      </c>
      <c r="C62" s="5" t="s">
        <v>2</v>
      </c>
      <c r="D62">
        <v>1</v>
      </c>
      <c r="H62" s="19">
        <v>5000</v>
      </c>
      <c r="I62" s="19"/>
      <c r="O62" s="2">
        <f t="shared" si="20"/>
        <v>5000</v>
      </c>
      <c r="AC62">
        <v>1</v>
      </c>
      <c r="AD62">
        <v>4095</v>
      </c>
      <c r="AO62" s="2">
        <f t="shared" si="34"/>
        <v>1</v>
      </c>
      <c r="AP62" s="2">
        <f t="shared" si="35"/>
        <v>4095</v>
      </c>
      <c r="AS62" s="2">
        <f t="shared" si="21"/>
        <v>905</v>
      </c>
      <c r="BC62" s="70">
        <f t="shared" si="22"/>
        <v>1</v>
      </c>
      <c r="BD62" s="70">
        <f t="shared" si="22"/>
        <v>4095</v>
      </c>
      <c r="BK62" s="26">
        <f t="shared" si="33"/>
        <v>1</v>
      </c>
      <c r="BL62" s="26">
        <f t="shared" si="33"/>
        <v>4095</v>
      </c>
      <c r="BN62" s="29">
        <f t="shared" si="19"/>
        <v>0</v>
      </c>
    </row>
    <row r="63" spans="2:66" ht="12.75">
      <c r="B63" s="40" t="s">
        <v>260</v>
      </c>
      <c r="C63" s="5" t="s">
        <v>2</v>
      </c>
      <c r="H63" s="19"/>
      <c r="I63" s="19"/>
      <c r="O63" s="2">
        <f t="shared" si="20"/>
        <v>0</v>
      </c>
      <c r="AO63" s="2">
        <f t="shared" si="34"/>
        <v>0</v>
      </c>
      <c r="AP63" s="2">
        <f t="shared" si="35"/>
        <v>0</v>
      </c>
      <c r="AS63" s="2">
        <f t="shared" si="21"/>
        <v>0</v>
      </c>
      <c r="BC63" s="70">
        <f t="shared" si="22"/>
        <v>0</v>
      </c>
      <c r="BD63" s="70">
        <f t="shared" si="22"/>
        <v>0</v>
      </c>
      <c r="BK63" s="26">
        <f t="shared" si="33"/>
        <v>0</v>
      </c>
      <c r="BL63" s="26">
        <f t="shared" si="33"/>
        <v>0</v>
      </c>
      <c r="BN63" s="29">
        <f t="shared" si="19"/>
        <v>0</v>
      </c>
    </row>
    <row r="64" spans="2:66" ht="12.75">
      <c r="B64" s="40" t="s">
        <v>261</v>
      </c>
      <c r="C64" s="5" t="s">
        <v>2</v>
      </c>
      <c r="H64" s="19"/>
      <c r="I64" s="19"/>
      <c r="O64" s="2">
        <f t="shared" si="20"/>
        <v>0</v>
      </c>
      <c r="AO64" s="2">
        <f t="shared" si="34"/>
        <v>0</v>
      </c>
      <c r="AP64" s="2">
        <f t="shared" si="35"/>
        <v>0</v>
      </c>
      <c r="AS64" s="2">
        <f t="shared" si="21"/>
        <v>0</v>
      </c>
      <c r="BC64" s="70">
        <f t="shared" si="22"/>
        <v>0</v>
      </c>
      <c r="BD64" s="70">
        <f t="shared" si="22"/>
        <v>0</v>
      </c>
      <c r="BK64" s="26">
        <f t="shared" si="33"/>
        <v>0</v>
      </c>
      <c r="BL64" s="26">
        <f t="shared" si="33"/>
        <v>0</v>
      </c>
      <c r="BN64" s="29">
        <f t="shared" si="19"/>
        <v>0</v>
      </c>
    </row>
    <row r="65" spans="2:66" ht="12.75">
      <c r="B65" s="40" t="s">
        <v>344</v>
      </c>
      <c r="C65" s="5" t="s">
        <v>2</v>
      </c>
      <c r="I65" s="19"/>
      <c r="O65" s="2">
        <f t="shared" si="20"/>
        <v>0</v>
      </c>
      <c r="S65">
        <v>1</v>
      </c>
      <c r="T65">
        <v>2950</v>
      </c>
      <c r="AO65" s="2">
        <f t="shared" si="34"/>
        <v>1</v>
      </c>
      <c r="AP65" s="2">
        <f t="shared" si="35"/>
        <v>2950</v>
      </c>
      <c r="AS65" s="2">
        <f t="shared" si="21"/>
        <v>-2950</v>
      </c>
      <c r="BC65" s="70">
        <f t="shared" si="22"/>
        <v>1</v>
      </c>
      <c r="BD65" s="70">
        <f t="shared" si="22"/>
        <v>2950</v>
      </c>
      <c r="BK65" s="26">
        <f t="shared" si="33"/>
        <v>1</v>
      </c>
      <c r="BL65" s="26">
        <f t="shared" si="33"/>
        <v>2950</v>
      </c>
      <c r="BN65" s="29">
        <f t="shared" si="19"/>
        <v>0</v>
      </c>
    </row>
    <row r="66" spans="2:66" ht="12.75">
      <c r="B66" s="40" t="s">
        <v>391</v>
      </c>
      <c r="C66" s="5" t="s">
        <v>2</v>
      </c>
      <c r="I66" s="19"/>
      <c r="O66" s="2">
        <f t="shared" si="20"/>
        <v>0</v>
      </c>
      <c r="AO66" s="2">
        <f t="shared" si="34"/>
        <v>0</v>
      </c>
      <c r="AP66" s="2">
        <f t="shared" si="35"/>
        <v>0</v>
      </c>
      <c r="AS66" s="2">
        <f t="shared" si="21"/>
        <v>0</v>
      </c>
      <c r="BC66" s="70">
        <f t="shared" si="22"/>
        <v>0</v>
      </c>
      <c r="BD66" s="70">
        <f t="shared" si="22"/>
        <v>0</v>
      </c>
      <c r="BK66" s="26">
        <f t="shared" si="33"/>
        <v>0</v>
      </c>
      <c r="BL66" s="26">
        <f t="shared" si="33"/>
        <v>0</v>
      </c>
      <c r="BN66" s="29">
        <f t="shared" si="19"/>
        <v>0</v>
      </c>
    </row>
    <row r="67" spans="2:66" ht="12.75">
      <c r="B67" s="40" t="s">
        <v>392</v>
      </c>
      <c r="C67" s="5" t="s">
        <v>2</v>
      </c>
      <c r="I67" s="19"/>
      <c r="O67" s="2">
        <f t="shared" si="20"/>
        <v>0</v>
      </c>
      <c r="AC67">
        <v>1</v>
      </c>
      <c r="AD67">
        <v>417</v>
      </c>
      <c r="AO67" s="2">
        <f t="shared" si="34"/>
        <v>1</v>
      </c>
      <c r="AP67" s="2">
        <f t="shared" si="35"/>
        <v>417</v>
      </c>
      <c r="AS67" s="2">
        <f t="shared" si="21"/>
        <v>-417</v>
      </c>
      <c r="BC67" s="70">
        <f t="shared" si="22"/>
        <v>1</v>
      </c>
      <c r="BD67" s="70">
        <f t="shared" si="22"/>
        <v>417</v>
      </c>
      <c r="BK67" s="26">
        <f t="shared" si="33"/>
        <v>1</v>
      </c>
      <c r="BL67" s="26">
        <f t="shared" si="33"/>
        <v>417</v>
      </c>
      <c r="BN67" s="29">
        <f t="shared" si="19"/>
        <v>0</v>
      </c>
    </row>
    <row r="68" spans="2:66" ht="12.75">
      <c r="B68" s="40" t="s">
        <v>393</v>
      </c>
      <c r="C68" s="5" t="s">
        <v>2</v>
      </c>
      <c r="I68" s="19"/>
      <c r="O68" s="2">
        <f t="shared" si="20"/>
        <v>0</v>
      </c>
      <c r="AO68" s="2">
        <f t="shared" si="34"/>
        <v>0</v>
      </c>
      <c r="AP68" s="2">
        <f t="shared" si="35"/>
        <v>0</v>
      </c>
      <c r="AS68" s="2">
        <f t="shared" si="21"/>
        <v>0</v>
      </c>
      <c r="BC68" s="70">
        <f t="shared" si="22"/>
        <v>0</v>
      </c>
      <c r="BD68" s="70">
        <f t="shared" si="22"/>
        <v>0</v>
      </c>
      <c r="BK68" s="26">
        <f t="shared" si="33"/>
        <v>0</v>
      </c>
      <c r="BL68" s="26">
        <f t="shared" si="33"/>
        <v>0</v>
      </c>
      <c r="BN68" s="29">
        <f t="shared" si="19"/>
        <v>0</v>
      </c>
    </row>
    <row r="69" spans="2:66" ht="12.75">
      <c r="B69" s="40" t="s">
        <v>411</v>
      </c>
      <c r="C69" s="5" t="s">
        <v>2</v>
      </c>
      <c r="I69" s="19"/>
      <c r="O69" s="2">
        <f t="shared" si="20"/>
        <v>0</v>
      </c>
      <c r="AE69">
        <v>1</v>
      </c>
      <c r="AF69">
        <v>620</v>
      </c>
      <c r="AO69" s="2">
        <f t="shared" si="34"/>
        <v>1</v>
      </c>
      <c r="AP69" s="2">
        <f t="shared" si="35"/>
        <v>620</v>
      </c>
      <c r="AS69" s="2">
        <f t="shared" si="21"/>
        <v>-620</v>
      </c>
      <c r="BC69" s="70">
        <f>AO69</f>
        <v>1</v>
      </c>
      <c r="BD69" s="70">
        <f>AP69</f>
        <v>620</v>
      </c>
      <c r="BK69" s="26">
        <f>AW69+AY69+BA69+BC69+BE69+BG69+BI69</f>
        <v>1</v>
      </c>
      <c r="BL69" s="26">
        <f>AX69+AZ69+BB69+BD69+BF69+BH69+BJ69</f>
        <v>620</v>
      </c>
      <c r="BN69" s="29">
        <f t="shared" si="19"/>
        <v>0</v>
      </c>
    </row>
    <row r="70" spans="2:66" s="19" customFormat="1" ht="12.75">
      <c r="B70" s="40" t="s">
        <v>412</v>
      </c>
      <c r="C70" s="33" t="s">
        <v>2</v>
      </c>
      <c r="J70" s="19">
        <v>3400</v>
      </c>
      <c r="O70" s="2">
        <f t="shared" si="20"/>
        <v>3400</v>
      </c>
      <c r="AE70" s="19">
        <v>1</v>
      </c>
      <c r="AF70" s="19">
        <v>3380</v>
      </c>
      <c r="AO70" s="26">
        <f t="shared" si="34"/>
        <v>1</v>
      </c>
      <c r="AP70" s="26">
        <f t="shared" si="35"/>
        <v>3380</v>
      </c>
      <c r="AS70" s="26">
        <f t="shared" si="21"/>
        <v>20</v>
      </c>
      <c r="BC70" s="70">
        <f>AO70</f>
        <v>1</v>
      </c>
      <c r="BD70" s="70">
        <f>AP70</f>
        <v>3380</v>
      </c>
      <c r="BK70" s="26">
        <f>AW70+AY70+BA70+BC70+BE70+BG70+BI70</f>
        <v>1</v>
      </c>
      <c r="BL70" s="26">
        <f>AX70+AZ70+BB70+BD70+BF70+BH70+BJ70</f>
        <v>3380</v>
      </c>
      <c r="BN70" s="29">
        <f t="shared" si="19"/>
        <v>0</v>
      </c>
    </row>
    <row r="71" spans="2:66" s="19" customFormat="1" ht="12.75">
      <c r="B71" s="40" t="s">
        <v>413</v>
      </c>
      <c r="C71" s="33" t="s">
        <v>2</v>
      </c>
      <c r="O71" s="2">
        <f t="shared" si="20"/>
        <v>0</v>
      </c>
      <c r="AO71" s="26">
        <f aca="true" t="shared" si="36" ref="AO71:AP78">Q71+S71+U71+W71+Y71+AA71+AC71+AE71+AG71+AI71+AK71+AM71</f>
        <v>0</v>
      </c>
      <c r="AP71" s="26">
        <f t="shared" si="36"/>
        <v>0</v>
      </c>
      <c r="AS71" s="26">
        <f t="shared" si="21"/>
        <v>0</v>
      </c>
      <c r="BC71" s="70">
        <f aca="true" t="shared" si="37" ref="BC71:BD78">AO71</f>
        <v>0</v>
      </c>
      <c r="BD71" s="70">
        <f t="shared" si="37"/>
        <v>0</v>
      </c>
      <c r="BK71" s="26">
        <f aca="true" t="shared" si="38" ref="BK71:BL78">AW71+AY71+BA71+BC71+BE71+BG71+BI71</f>
        <v>0</v>
      </c>
      <c r="BL71" s="26">
        <f t="shared" si="38"/>
        <v>0</v>
      </c>
      <c r="BN71" s="29">
        <f t="shared" si="19"/>
        <v>0</v>
      </c>
    </row>
    <row r="72" spans="2:66" s="19" customFormat="1" ht="12.75">
      <c r="B72" s="40" t="s">
        <v>414</v>
      </c>
      <c r="C72" s="33" t="s">
        <v>2</v>
      </c>
      <c r="O72" s="2">
        <f t="shared" si="20"/>
        <v>0</v>
      </c>
      <c r="AO72" s="26">
        <f t="shared" si="36"/>
        <v>0</v>
      </c>
      <c r="AP72" s="26">
        <f t="shared" si="36"/>
        <v>0</v>
      </c>
      <c r="AS72" s="26">
        <f t="shared" si="21"/>
        <v>0</v>
      </c>
      <c r="BC72" s="70">
        <f t="shared" si="37"/>
        <v>0</v>
      </c>
      <c r="BD72" s="70">
        <f t="shared" si="37"/>
        <v>0</v>
      </c>
      <c r="BK72" s="26">
        <f t="shared" si="38"/>
        <v>0</v>
      </c>
      <c r="BL72" s="26">
        <f t="shared" si="38"/>
        <v>0</v>
      </c>
      <c r="BN72" s="29">
        <f t="shared" si="19"/>
        <v>0</v>
      </c>
    </row>
    <row r="73" spans="2:66" s="19" customFormat="1" ht="12.75">
      <c r="B73" s="40" t="s">
        <v>415</v>
      </c>
      <c r="C73" s="33" t="s">
        <v>2</v>
      </c>
      <c r="O73" s="26">
        <f aca="true" t="shared" si="39" ref="O73:O78">SUM(E73:N73)</f>
        <v>0</v>
      </c>
      <c r="AO73" s="26">
        <f t="shared" si="36"/>
        <v>0</v>
      </c>
      <c r="AP73" s="26">
        <f t="shared" si="36"/>
        <v>0</v>
      </c>
      <c r="AS73" s="26">
        <f t="shared" si="21"/>
        <v>0</v>
      </c>
      <c r="BC73" s="70">
        <f t="shared" si="37"/>
        <v>0</v>
      </c>
      <c r="BD73" s="70">
        <f t="shared" si="37"/>
        <v>0</v>
      </c>
      <c r="BK73" s="26">
        <f t="shared" si="38"/>
        <v>0</v>
      </c>
      <c r="BL73" s="26">
        <f t="shared" si="38"/>
        <v>0</v>
      </c>
      <c r="BN73" s="29">
        <f t="shared" si="19"/>
        <v>0</v>
      </c>
    </row>
    <row r="74" spans="2:66" s="19" customFormat="1" ht="12.75">
      <c r="B74" s="40" t="s">
        <v>416</v>
      </c>
      <c r="C74" s="33" t="s">
        <v>2</v>
      </c>
      <c r="J74" s="19">
        <v>4800</v>
      </c>
      <c r="O74" s="26">
        <f t="shared" si="39"/>
        <v>4800</v>
      </c>
      <c r="AE74" s="19">
        <f>1+1</f>
        <v>2</v>
      </c>
      <c r="AF74" s="19">
        <f>2200+2600</f>
        <v>4800</v>
      </c>
      <c r="AO74" s="26">
        <f t="shared" si="36"/>
        <v>2</v>
      </c>
      <c r="AP74" s="26">
        <f t="shared" si="36"/>
        <v>4800</v>
      </c>
      <c r="AS74" s="26">
        <f t="shared" si="21"/>
        <v>0</v>
      </c>
      <c r="BC74" s="70">
        <f t="shared" si="37"/>
        <v>2</v>
      </c>
      <c r="BD74" s="70">
        <f t="shared" si="37"/>
        <v>4800</v>
      </c>
      <c r="BK74" s="26">
        <f t="shared" si="38"/>
        <v>2</v>
      </c>
      <c r="BL74" s="26">
        <f t="shared" si="38"/>
        <v>4800</v>
      </c>
      <c r="BN74" s="29">
        <f t="shared" si="19"/>
        <v>0</v>
      </c>
    </row>
    <row r="75" spans="2:66" s="19" customFormat="1" ht="12.75">
      <c r="B75" s="40" t="s">
        <v>417</v>
      </c>
      <c r="C75" s="33" t="s">
        <v>2</v>
      </c>
      <c r="O75" s="26">
        <f t="shared" si="39"/>
        <v>0</v>
      </c>
      <c r="AO75" s="26">
        <f t="shared" si="36"/>
        <v>0</v>
      </c>
      <c r="AP75" s="26">
        <f t="shared" si="36"/>
        <v>0</v>
      </c>
      <c r="AS75" s="26">
        <f t="shared" si="21"/>
        <v>0</v>
      </c>
      <c r="BC75" s="70">
        <f t="shared" si="37"/>
        <v>0</v>
      </c>
      <c r="BD75" s="70">
        <f t="shared" si="37"/>
        <v>0</v>
      </c>
      <c r="BK75" s="26">
        <f t="shared" si="38"/>
        <v>0</v>
      </c>
      <c r="BL75" s="26">
        <f t="shared" si="38"/>
        <v>0</v>
      </c>
      <c r="BN75" s="29">
        <f t="shared" si="19"/>
        <v>0</v>
      </c>
    </row>
    <row r="76" spans="2:66" ht="12.75">
      <c r="B76" s="40" t="s">
        <v>418</v>
      </c>
      <c r="C76" s="5" t="s">
        <v>2</v>
      </c>
      <c r="I76" s="19"/>
      <c r="O76" s="2">
        <f t="shared" si="39"/>
        <v>0</v>
      </c>
      <c r="AO76" s="2">
        <f t="shared" si="36"/>
        <v>0</v>
      </c>
      <c r="AP76" s="2">
        <f t="shared" si="36"/>
        <v>0</v>
      </c>
      <c r="AS76" s="2">
        <f t="shared" si="21"/>
        <v>0</v>
      </c>
      <c r="BC76" s="70">
        <f t="shared" si="37"/>
        <v>0</v>
      </c>
      <c r="BD76" s="70">
        <f t="shared" si="37"/>
        <v>0</v>
      </c>
      <c r="BK76" s="26">
        <f t="shared" si="38"/>
        <v>0</v>
      </c>
      <c r="BL76" s="26">
        <f t="shared" si="38"/>
        <v>0</v>
      </c>
      <c r="BN76" s="29">
        <f t="shared" si="19"/>
        <v>0</v>
      </c>
    </row>
    <row r="77" spans="2:66" ht="12.75">
      <c r="B77" s="40" t="s">
        <v>445</v>
      </c>
      <c r="C77" s="5" t="s">
        <v>2</v>
      </c>
      <c r="I77" s="19"/>
      <c r="O77" s="2">
        <f t="shared" si="39"/>
        <v>0</v>
      </c>
      <c r="AM77">
        <v>1</v>
      </c>
      <c r="AN77">
        <v>3160</v>
      </c>
      <c r="AO77" s="2">
        <f t="shared" si="36"/>
        <v>1</v>
      </c>
      <c r="AP77" s="2">
        <f t="shared" si="36"/>
        <v>3160</v>
      </c>
      <c r="AS77" s="2">
        <f t="shared" si="21"/>
        <v>-3160</v>
      </c>
      <c r="BC77" s="70">
        <f t="shared" si="37"/>
        <v>1</v>
      </c>
      <c r="BD77" s="70">
        <f t="shared" si="37"/>
        <v>3160</v>
      </c>
      <c r="BK77" s="26">
        <f t="shared" si="38"/>
        <v>1</v>
      </c>
      <c r="BL77" s="26">
        <f t="shared" si="38"/>
        <v>3160</v>
      </c>
      <c r="BN77" s="29">
        <f t="shared" si="19"/>
        <v>0</v>
      </c>
    </row>
    <row r="78" spans="2:66" ht="12.75">
      <c r="B78" s="40" t="s">
        <v>446</v>
      </c>
      <c r="C78" s="5" t="s">
        <v>2</v>
      </c>
      <c r="I78" s="19"/>
      <c r="O78" s="2">
        <f t="shared" si="39"/>
        <v>0</v>
      </c>
      <c r="AM78">
        <v>12</v>
      </c>
      <c r="AN78">
        <v>420</v>
      </c>
      <c r="AO78" s="2">
        <f t="shared" si="36"/>
        <v>12</v>
      </c>
      <c r="AP78" s="2">
        <f t="shared" si="36"/>
        <v>420</v>
      </c>
      <c r="AS78" s="2">
        <f t="shared" si="21"/>
        <v>-420</v>
      </c>
      <c r="BC78" s="70">
        <f t="shared" si="37"/>
        <v>12</v>
      </c>
      <c r="BD78" s="70">
        <f t="shared" si="37"/>
        <v>420</v>
      </c>
      <c r="BK78" s="26">
        <f t="shared" si="38"/>
        <v>12</v>
      </c>
      <c r="BL78" s="26">
        <f t="shared" si="38"/>
        <v>420</v>
      </c>
      <c r="BN78" s="29">
        <f t="shared" si="19"/>
        <v>0</v>
      </c>
    </row>
    <row r="79" spans="2:66" ht="12.75">
      <c r="B79" s="40" t="s">
        <v>291</v>
      </c>
      <c r="C79" s="5" t="s">
        <v>2</v>
      </c>
      <c r="O79" s="2">
        <f t="shared" si="20"/>
        <v>0</v>
      </c>
      <c r="AO79" s="2">
        <f>Q79+S79+U79+W79+Y79+AA79+AC79+AE79+AG79+AI79+AK79+AM79</f>
        <v>0</v>
      </c>
      <c r="AP79" s="2">
        <f>R79+T79+V79+X79+Z79+AB79+AD79+AF79+AH79+AJ79+AL79+AN79</f>
        <v>0</v>
      </c>
      <c r="AS79" s="2">
        <f t="shared" si="21"/>
        <v>0</v>
      </c>
      <c r="BC79" s="70">
        <f t="shared" si="22"/>
        <v>0</v>
      </c>
      <c r="BD79" s="70">
        <f t="shared" si="22"/>
        <v>0</v>
      </c>
      <c r="BK79" s="26">
        <f t="shared" si="33"/>
        <v>0</v>
      </c>
      <c r="BL79" s="26">
        <f t="shared" si="33"/>
        <v>0</v>
      </c>
      <c r="BN79" s="29">
        <f t="shared" si="19"/>
        <v>0</v>
      </c>
    </row>
    <row r="80" spans="1:83" ht="14.25">
      <c r="A80" s="6">
        <v>7</v>
      </c>
      <c r="B80" s="61" t="s">
        <v>10</v>
      </c>
      <c r="C80" s="8"/>
      <c r="D80" s="7"/>
      <c r="E80" s="7">
        <f aca="true" t="shared" si="40" ref="E80:K80">SUM(E81:E95)</f>
        <v>0</v>
      </c>
      <c r="F80" s="7">
        <f t="shared" si="40"/>
        <v>0</v>
      </c>
      <c r="G80" s="7">
        <f t="shared" si="40"/>
        <v>0</v>
      </c>
      <c r="H80" s="7">
        <f t="shared" si="40"/>
        <v>0</v>
      </c>
      <c r="I80" s="7">
        <f t="shared" si="40"/>
        <v>0</v>
      </c>
      <c r="J80" s="7">
        <f t="shared" si="40"/>
        <v>6767</v>
      </c>
      <c r="K80" s="7">
        <f t="shared" si="40"/>
        <v>0</v>
      </c>
      <c r="L80" s="7">
        <f>SUM(L81:L95)</f>
        <v>0</v>
      </c>
      <c r="M80" s="7">
        <f>SUM(M81:M95)</f>
        <v>0</v>
      </c>
      <c r="N80" s="7">
        <f>SUM(N81:N95)</f>
        <v>0</v>
      </c>
      <c r="O80" s="9"/>
      <c r="P80" s="28"/>
      <c r="Q80" s="7">
        <f aca="true" t="shared" si="41" ref="Q80:AP80">SUM(Q81:Q95)</f>
        <v>0</v>
      </c>
      <c r="R80" s="7">
        <f t="shared" si="41"/>
        <v>0</v>
      </c>
      <c r="S80" s="7">
        <f t="shared" si="41"/>
        <v>0</v>
      </c>
      <c r="T80" s="7">
        <f t="shared" si="41"/>
        <v>0</v>
      </c>
      <c r="U80" s="7">
        <f t="shared" si="41"/>
        <v>0</v>
      </c>
      <c r="V80" s="7">
        <f t="shared" si="41"/>
        <v>0</v>
      </c>
      <c r="W80" s="7">
        <f t="shared" si="41"/>
        <v>0</v>
      </c>
      <c r="X80" s="7">
        <f t="shared" si="41"/>
        <v>0</v>
      </c>
      <c r="Y80" s="7">
        <f t="shared" si="41"/>
        <v>0</v>
      </c>
      <c r="Z80" s="7">
        <f t="shared" si="41"/>
        <v>0</v>
      </c>
      <c r="AA80" s="7">
        <f t="shared" si="41"/>
        <v>0</v>
      </c>
      <c r="AB80" s="7">
        <f t="shared" si="41"/>
        <v>0</v>
      </c>
      <c r="AC80" s="7">
        <f t="shared" si="41"/>
        <v>0</v>
      </c>
      <c r="AD80" s="7">
        <f t="shared" si="41"/>
        <v>0</v>
      </c>
      <c r="AE80" s="7">
        <f t="shared" si="41"/>
        <v>118</v>
      </c>
      <c r="AF80" s="7">
        <f t="shared" si="41"/>
        <v>6767</v>
      </c>
      <c r="AG80" s="7">
        <f t="shared" si="41"/>
        <v>0</v>
      </c>
      <c r="AH80" s="7">
        <f t="shared" si="41"/>
        <v>0</v>
      </c>
      <c r="AI80" s="7">
        <f t="shared" si="41"/>
        <v>0</v>
      </c>
      <c r="AJ80" s="7">
        <f t="shared" si="41"/>
        <v>0</v>
      </c>
      <c r="AK80" s="7">
        <f t="shared" si="41"/>
        <v>0</v>
      </c>
      <c r="AL80" s="7">
        <f t="shared" si="41"/>
        <v>0</v>
      </c>
      <c r="AM80" s="7">
        <f t="shared" si="41"/>
        <v>0</v>
      </c>
      <c r="AN80" s="7">
        <f t="shared" si="41"/>
        <v>0</v>
      </c>
      <c r="AO80" s="7">
        <f t="shared" si="41"/>
        <v>118</v>
      </c>
      <c r="AP80" s="7">
        <f t="shared" si="41"/>
        <v>6767</v>
      </c>
      <c r="AQ80" s="9"/>
      <c r="AR80" s="9"/>
      <c r="AS80" s="7">
        <f>SUM(AS81:AS95)</f>
        <v>0</v>
      </c>
      <c r="AT80" s="9"/>
      <c r="AU80" s="9"/>
      <c r="AV80" s="9"/>
      <c r="AW80" s="7">
        <f aca="true" t="shared" si="42" ref="AW80:BK80">SUM(AW81:AW95)</f>
        <v>0</v>
      </c>
      <c r="AX80" s="7">
        <f t="shared" si="42"/>
        <v>0</v>
      </c>
      <c r="AY80" s="7">
        <f t="shared" si="42"/>
        <v>0</v>
      </c>
      <c r="AZ80" s="7">
        <f t="shared" si="42"/>
        <v>0</v>
      </c>
      <c r="BA80" s="7">
        <f t="shared" si="42"/>
        <v>0</v>
      </c>
      <c r="BB80" s="7">
        <f t="shared" si="42"/>
        <v>0</v>
      </c>
      <c r="BC80" s="7">
        <f t="shared" si="42"/>
        <v>118</v>
      </c>
      <c r="BD80" s="7">
        <f t="shared" si="42"/>
        <v>6767</v>
      </c>
      <c r="BE80" s="7">
        <f t="shared" si="42"/>
        <v>0</v>
      </c>
      <c r="BF80" s="7">
        <f t="shared" si="42"/>
        <v>0</v>
      </c>
      <c r="BG80" s="7">
        <f t="shared" si="42"/>
        <v>0</v>
      </c>
      <c r="BH80" s="7">
        <f t="shared" si="42"/>
        <v>0</v>
      </c>
      <c r="BI80" s="7">
        <f t="shared" si="42"/>
        <v>0</v>
      </c>
      <c r="BJ80" s="7">
        <f t="shared" si="42"/>
        <v>0</v>
      </c>
      <c r="BK80" s="7">
        <f t="shared" si="42"/>
        <v>118</v>
      </c>
      <c r="BL80" s="7">
        <f>SUM(BL81:BL95)</f>
        <v>6767</v>
      </c>
      <c r="BM80" s="7"/>
      <c r="BN80" s="7">
        <f>SUM(BN81:BN95)</f>
        <v>0</v>
      </c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</row>
    <row r="81" spans="2:66" ht="12.75">
      <c r="B81" s="40" t="s">
        <v>400</v>
      </c>
      <c r="C81" s="5" t="s">
        <v>2</v>
      </c>
      <c r="D81">
        <v>4</v>
      </c>
      <c r="J81">
        <f>D81*78</f>
        <v>312</v>
      </c>
      <c r="L81" s="19"/>
      <c r="O81" s="2">
        <f t="shared" si="20"/>
        <v>312</v>
      </c>
      <c r="AE81">
        <v>4</v>
      </c>
      <c r="AF81">
        <f>AE81*78</f>
        <v>312</v>
      </c>
      <c r="AO81" s="2">
        <f aca="true" t="shared" si="43" ref="AO81:AP95">Q81+S81+U81+W81+Y81+AA81+AC81+AE81+AG81+AI81+AK81+AM81</f>
        <v>4</v>
      </c>
      <c r="AP81" s="2">
        <f t="shared" si="43"/>
        <v>312</v>
      </c>
      <c r="AS81" s="2">
        <f t="shared" si="21"/>
        <v>0</v>
      </c>
      <c r="BC81" s="70">
        <f t="shared" si="22"/>
        <v>4</v>
      </c>
      <c r="BD81" s="70">
        <f t="shared" si="22"/>
        <v>312</v>
      </c>
      <c r="BK81" s="26">
        <f aca="true" t="shared" si="44" ref="BK81:BL95">AW81+AY81+BA81+BC81+BE81+BG81+BI81</f>
        <v>4</v>
      </c>
      <c r="BL81" s="26">
        <f t="shared" si="44"/>
        <v>312</v>
      </c>
      <c r="BN81" s="29">
        <f t="shared" si="19"/>
        <v>0</v>
      </c>
    </row>
    <row r="82" spans="2:66" ht="12.75">
      <c r="B82" s="40" t="s">
        <v>358</v>
      </c>
      <c r="C82" s="5" t="s">
        <v>2</v>
      </c>
      <c r="D82">
        <v>1</v>
      </c>
      <c r="J82">
        <f>D82*495</f>
        <v>495</v>
      </c>
      <c r="L82" s="19"/>
      <c r="O82" s="2">
        <f t="shared" si="20"/>
        <v>495</v>
      </c>
      <c r="AE82">
        <f>1</f>
        <v>1</v>
      </c>
      <c r="AF82">
        <v>495</v>
      </c>
      <c r="AO82" s="2">
        <f t="shared" si="43"/>
        <v>1</v>
      </c>
      <c r="AP82" s="2">
        <f t="shared" si="43"/>
        <v>495</v>
      </c>
      <c r="AS82" s="2">
        <f t="shared" si="21"/>
        <v>0</v>
      </c>
      <c r="BC82" s="70">
        <f t="shared" si="22"/>
        <v>1</v>
      </c>
      <c r="BD82" s="70">
        <f t="shared" si="22"/>
        <v>495</v>
      </c>
      <c r="BK82" s="26">
        <f t="shared" si="44"/>
        <v>1</v>
      </c>
      <c r="BL82" s="26">
        <f t="shared" si="44"/>
        <v>495</v>
      </c>
      <c r="BN82" s="29">
        <f t="shared" si="19"/>
        <v>0</v>
      </c>
    </row>
    <row r="83" spans="2:66" ht="12.75">
      <c r="B83" s="40" t="s">
        <v>398</v>
      </c>
      <c r="C83" s="5" t="s">
        <v>2</v>
      </c>
      <c r="D83" s="19">
        <v>2</v>
      </c>
      <c r="J83">
        <f>D83*175</f>
        <v>350</v>
      </c>
      <c r="L83" s="19"/>
      <c r="O83" s="2">
        <f t="shared" si="20"/>
        <v>350</v>
      </c>
      <c r="AE83">
        <f>2</f>
        <v>2</v>
      </c>
      <c r="AF83">
        <v>350</v>
      </c>
      <c r="AO83" s="2">
        <f t="shared" si="43"/>
        <v>2</v>
      </c>
      <c r="AP83" s="2">
        <f t="shared" si="43"/>
        <v>350</v>
      </c>
      <c r="AS83" s="2">
        <f t="shared" si="21"/>
        <v>0</v>
      </c>
      <c r="BC83" s="70">
        <f t="shared" si="22"/>
        <v>2</v>
      </c>
      <c r="BD83" s="70">
        <f t="shared" si="22"/>
        <v>350</v>
      </c>
      <c r="BK83" s="26">
        <f t="shared" si="44"/>
        <v>2</v>
      </c>
      <c r="BL83" s="26">
        <f t="shared" si="44"/>
        <v>350</v>
      </c>
      <c r="BN83" s="29">
        <f t="shared" si="19"/>
        <v>0</v>
      </c>
    </row>
    <row r="84" spans="2:66" ht="12.75">
      <c r="B84" s="40" t="s">
        <v>357</v>
      </c>
      <c r="C84" s="5" t="s">
        <v>2</v>
      </c>
      <c r="D84" s="19">
        <v>1</v>
      </c>
      <c r="J84">
        <f>D84*105</f>
        <v>105</v>
      </c>
      <c r="O84" s="2">
        <f t="shared" si="20"/>
        <v>105</v>
      </c>
      <c r="AE84">
        <v>1</v>
      </c>
      <c r="AF84">
        <v>105</v>
      </c>
      <c r="AO84" s="2">
        <f t="shared" si="43"/>
        <v>1</v>
      </c>
      <c r="AP84" s="2">
        <f t="shared" si="43"/>
        <v>105</v>
      </c>
      <c r="AS84" s="2">
        <f t="shared" si="21"/>
        <v>0</v>
      </c>
      <c r="BC84" s="70">
        <f t="shared" si="22"/>
        <v>1</v>
      </c>
      <c r="BD84" s="70">
        <f t="shared" si="22"/>
        <v>105</v>
      </c>
      <c r="BK84" s="26">
        <f t="shared" si="44"/>
        <v>1</v>
      </c>
      <c r="BL84" s="26">
        <f t="shared" si="44"/>
        <v>105</v>
      </c>
      <c r="BN84" s="29">
        <f t="shared" si="19"/>
        <v>0</v>
      </c>
    </row>
    <row r="85" spans="2:66" ht="12.75">
      <c r="B85" s="40" t="s">
        <v>399</v>
      </c>
      <c r="C85" s="5" t="s">
        <v>2</v>
      </c>
      <c r="D85" s="19"/>
      <c r="O85" s="2">
        <f t="shared" si="20"/>
        <v>0</v>
      </c>
      <c r="AO85" s="2">
        <f t="shared" si="43"/>
        <v>0</v>
      </c>
      <c r="AP85" s="2">
        <f t="shared" si="43"/>
        <v>0</v>
      </c>
      <c r="AS85" s="2">
        <f t="shared" si="21"/>
        <v>0</v>
      </c>
      <c r="BC85" s="70">
        <f t="shared" si="22"/>
        <v>0</v>
      </c>
      <c r="BD85" s="70">
        <f t="shared" si="22"/>
        <v>0</v>
      </c>
      <c r="BK85" s="26">
        <f t="shared" si="44"/>
        <v>0</v>
      </c>
      <c r="BL85" s="26">
        <f t="shared" si="44"/>
        <v>0</v>
      </c>
      <c r="BN85" s="29">
        <f aca="true" t="shared" si="45" ref="BN85:BN148">BL85-AP85</f>
        <v>0</v>
      </c>
    </row>
    <row r="86" spans="2:66" ht="12.75">
      <c r="B86" s="40" t="s">
        <v>401</v>
      </c>
      <c r="C86" s="5" t="s">
        <v>2</v>
      </c>
      <c r="D86" s="19">
        <v>1</v>
      </c>
      <c r="J86">
        <v>140</v>
      </c>
      <c r="O86" s="2">
        <f t="shared" si="20"/>
        <v>140</v>
      </c>
      <c r="AE86">
        <v>1</v>
      </c>
      <c r="AF86">
        <v>140</v>
      </c>
      <c r="AO86" s="2">
        <f t="shared" si="43"/>
        <v>1</v>
      </c>
      <c r="AP86" s="2">
        <f t="shared" si="43"/>
        <v>140</v>
      </c>
      <c r="AS86" s="2">
        <f t="shared" si="21"/>
        <v>0</v>
      </c>
      <c r="BC86" s="70">
        <f t="shared" si="22"/>
        <v>1</v>
      </c>
      <c r="BD86" s="70">
        <f t="shared" si="22"/>
        <v>140</v>
      </c>
      <c r="BK86" s="26">
        <f t="shared" si="44"/>
        <v>1</v>
      </c>
      <c r="BL86" s="26">
        <f t="shared" si="44"/>
        <v>140</v>
      </c>
      <c r="BN86" s="29">
        <f t="shared" si="45"/>
        <v>0</v>
      </c>
    </row>
    <row r="87" spans="2:66" ht="12.75">
      <c r="B87" s="40" t="s">
        <v>402</v>
      </c>
      <c r="C87" s="5" t="s">
        <v>2</v>
      </c>
      <c r="D87" s="19">
        <v>1</v>
      </c>
      <c r="J87">
        <f>D87*65</f>
        <v>65</v>
      </c>
      <c r="O87" s="2">
        <f t="shared" si="20"/>
        <v>65</v>
      </c>
      <c r="AE87">
        <v>1</v>
      </c>
      <c r="AF87">
        <v>65</v>
      </c>
      <c r="AO87" s="2">
        <f t="shared" si="43"/>
        <v>1</v>
      </c>
      <c r="AP87" s="2">
        <f t="shared" si="43"/>
        <v>65</v>
      </c>
      <c r="AS87" s="2">
        <f t="shared" si="21"/>
        <v>0</v>
      </c>
      <c r="BC87" s="70">
        <f t="shared" si="22"/>
        <v>1</v>
      </c>
      <c r="BD87" s="70">
        <f t="shared" si="22"/>
        <v>65</v>
      </c>
      <c r="BK87" s="26">
        <f t="shared" si="44"/>
        <v>1</v>
      </c>
      <c r="BL87" s="26">
        <f t="shared" si="44"/>
        <v>65</v>
      </c>
      <c r="BN87" s="29">
        <f t="shared" si="45"/>
        <v>0</v>
      </c>
    </row>
    <row r="88" spans="2:66" ht="12.75">
      <c r="B88" s="40" t="s">
        <v>403</v>
      </c>
      <c r="C88" s="5" t="s">
        <v>2</v>
      </c>
      <c r="D88" s="19"/>
      <c r="O88" s="2">
        <f t="shared" si="20"/>
        <v>0</v>
      </c>
      <c r="AF88">
        <f>AE88*25</f>
        <v>0</v>
      </c>
      <c r="AO88" s="2">
        <f t="shared" si="43"/>
        <v>0</v>
      </c>
      <c r="AP88" s="2">
        <f t="shared" si="43"/>
        <v>0</v>
      </c>
      <c r="AS88" s="2">
        <f t="shared" si="21"/>
        <v>0</v>
      </c>
      <c r="BC88" s="70">
        <f t="shared" si="22"/>
        <v>0</v>
      </c>
      <c r="BD88" s="70">
        <f t="shared" si="22"/>
        <v>0</v>
      </c>
      <c r="BK88" s="26">
        <f t="shared" si="44"/>
        <v>0</v>
      </c>
      <c r="BL88" s="26">
        <f t="shared" si="44"/>
        <v>0</v>
      </c>
      <c r="BN88" s="29">
        <f t="shared" si="45"/>
        <v>0</v>
      </c>
    </row>
    <row r="89" spans="2:66" ht="12.75">
      <c r="B89" s="40" t="s">
        <v>404</v>
      </c>
      <c r="C89" s="5" t="s">
        <v>2</v>
      </c>
      <c r="D89" s="19">
        <v>7</v>
      </c>
      <c r="J89">
        <f>D89*125</f>
        <v>875</v>
      </c>
      <c r="O89" s="2">
        <f t="shared" si="20"/>
        <v>875</v>
      </c>
      <c r="AE89">
        <v>7</v>
      </c>
      <c r="AF89">
        <v>875</v>
      </c>
      <c r="AO89" s="2">
        <f t="shared" si="43"/>
        <v>7</v>
      </c>
      <c r="AP89" s="2">
        <f t="shared" si="43"/>
        <v>875</v>
      </c>
      <c r="AS89" s="2">
        <f t="shared" si="21"/>
        <v>0</v>
      </c>
      <c r="BC89" s="70">
        <f t="shared" si="22"/>
        <v>7</v>
      </c>
      <c r="BD89" s="70">
        <f t="shared" si="22"/>
        <v>875</v>
      </c>
      <c r="BK89" s="26">
        <f t="shared" si="44"/>
        <v>7</v>
      </c>
      <c r="BL89" s="26">
        <f t="shared" si="44"/>
        <v>875</v>
      </c>
      <c r="BN89" s="29">
        <f t="shared" si="45"/>
        <v>0</v>
      </c>
    </row>
    <row r="90" spans="2:66" ht="12.75">
      <c r="B90" s="40" t="s">
        <v>405</v>
      </c>
      <c r="C90" s="5" t="s">
        <v>2</v>
      </c>
      <c r="D90" s="19">
        <v>1</v>
      </c>
      <c r="J90">
        <f>D90*325</f>
        <v>325</v>
      </c>
      <c r="O90" s="2">
        <f t="shared" si="20"/>
        <v>325</v>
      </c>
      <c r="AE90">
        <v>1</v>
      </c>
      <c r="AF90">
        <f>AE90*325</f>
        <v>325</v>
      </c>
      <c r="AO90" s="2">
        <f t="shared" si="43"/>
        <v>1</v>
      </c>
      <c r="AP90" s="2">
        <f t="shared" si="43"/>
        <v>325</v>
      </c>
      <c r="AS90" s="2">
        <f t="shared" si="21"/>
        <v>0</v>
      </c>
      <c r="BC90" s="70">
        <f t="shared" si="22"/>
        <v>1</v>
      </c>
      <c r="BD90" s="70">
        <f t="shared" si="22"/>
        <v>325</v>
      </c>
      <c r="BK90" s="26">
        <f t="shared" si="44"/>
        <v>1</v>
      </c>
      <c r="BL90" s="26">
        <f t="shared" si="44"/>
        <v>325</v>
      </c>
      <c r="BN90" s="29">
        <f t="shared" si="45"/>
        <v>0</v>
      </c>
    </row>
    <row r="91" spans="2:66" ht="13.5" customHeight="1">
      <c r="B91" s="40" t="s">
        <v>24</v>
      </c>
      <c r="C91" s="5" t="s">
        <v>2</v>
      </c>
      <c r="D91" s="19">
        <v>100</v>
      </c>
      <c r="J91">
        <f>D91*41</f>
        <v>4100</v>
      </c>
      <c r="O91" s="2">
        <f t="shared" si="20"/>
        <v>4100</v>
      </c>
      <c r="AE91">
        <v>100</v>
      </c>
      <c r="AF91">
        <f>AE91*41</f>
        <v>4100</v>
      </c>
      <c r="AO91" s="2">
        <f t="shared" si="43"/>
        <v>100</v>
      </c>
      <c r="AP91" s="2">
        <f t="shared" si="43"/>
        <v>4100</v>
      </c>
      <c r="AS91" s="2">
        <f t="shared" si="21"/>
        <v>0</v>
      </c>
      <c r="BC91" s="70">
        <f t="shared" si="22"/>
        <v>100</v>
      </c>
      <c r="BD91" s="70">
        <f t="shared" si="22"/>
        <v>4100</v>
      </c>
      <c r="BK91" s="26">
        <f t="shared" si="44"/>
        <v>100</v>
      </c>
      <c r="BL91" s="26">
        <f t="shared" si="44"/>
        <v>4100</v>
      </c>
      <c r="BN91" s="29">
        <f t="shared" si="45"/>
        <v>0</v>
      </c>
    </row>
    <row r="92" spans="3:66" ht="12.75">
      <c r="C92" s="5" t="s">
        <v>2</v>
      </c>
      <c r="O92" s="2">
        <f t="shared" si="20"/>
        <v>0</v>
      </c>
      <c r="AO92" s="2">
        <f t="shared" si="43"/>
        <v>0</v>
      </c>
      <c r="AP92" s="2">
        <f t="shared" si="43"/>
        <v>0</v>
      </c>
      <c r="AS92" s="2">
        <f t="shared" si="21"/>
        <v>0</v>
      </c>
      <c r="BC92" s="70">
        <f t="shared" si="22"/>
        <v>0</v>
      </c>
      <c r="BD92" s="70">
        <f t="shared" si="22"/>
        <v>0</v>
      </c>
      <c r="BK92" s="26">
        <f t="shared" si="44"/>
        <v>0</v>
      </c>
      <c r="BL92" s="26">
        <f t="shared" si="44"/>
        <v>0</v>
      </c>
      <c r="BN92" s="29">
        <f t="shared" si="45"/>
        <v>0</v>
      </c>
    </row>
    <row r="93" spans="3:66" ht="12.75">
      <c r="C93" s="5"/>
      <c r="O93" s="2">
        <f t="shared" si="20"/>
        <v>0</v>
      </c>
      <c r="AO93" s="2">
        <f t="shared" si="43"/>
        <v>0</v>
      </c>
      <c r="AP93" s="2">
        <f t="shared" si="43"/>
        <v>0</v>
      </c>
      <c r="AS93" s="2">
        <f t="shared" si="21"/>
        <v>0</v>
      </c>
      <c r="BC93" s="70">
        <f t="shared" si="22"/>
        <v>0</v>
      </c>
      <c r="BD93" s="70">
        <f t="shared" si="22"/>
        <v>0</v>
      </c>
      <c r="BK93" s="26">
        <f t="shared" si="44"/>
        <v>0</v>
      </c>
      <c r="BL93" s="26">
        <f t="shared" si="44"/>
        <v>0</v>
      </c>
      <c r="BN93" s="29">
        <f t="shared" si="45"/>
        <v>0</v>
      </c>
    </row>
    <row r="94" spans="3:66" ht="12.75">
      <c r="C94" s="5" t="s">
        <v>2</v>
      </c>
      <c r="O94" s="2">
        <f t="shared" si="20"/>
        <v>0</v>
      </c>
      <c r="AO94" s="2">
        <f t="shared" si="43"/>
        <v>0</v>
      </c>
      <c r="AP94" s="2">
        <f t="shared" si="43"/>
        <v>0</v>
      </c>
      <c r="AS94" s="2">
        <f t="shared" si="21"/>
        <v>0</v>
      </c>
      <c r="BC94" s="70">
        <f t="shared" si="22"/>
        <v>0</v>
      </c>
      <c r="BD94" s="70">
        <f t="shared" si="22"/>
        <v>0</v>
      </c>
      <c r="BK94" s="26">
        <f t="shared" si="44"/>
        <v>0</v>
      </c>
      <c r="BL94" s="26">
        <f t="shared" si="44"/>
        <v>0</v>
      </c>
      <c r="BN94" s="29">
        <f t="shared" si="45"/>
        <v>0</v>
      </c>
    </row>
    <row r="95" spans="3:66" ht="12.75">
      <c r="C95" s="5" t="s">
        <v>2</v>
      </c>
      <c r="O95" s="2">
        <f t="shared" si="20"/>
        <v>0</v>
      </c>
      <c r="AO95" s="2">
        <f t="shared" si="43"/>
        <v>0</v>
      </c>
      <c r="AP95" s="2">
        <f t="shared" si="43"/>
        <v>0</v>
      </c>
      <c r="AS95" s="2">
        <f t="shared" si="21"/>
        <v>0</v>
      </c>
      <c r="BC95" s="70">
        <f t="shared" si="22"/>
        <v>0</v>
      </c>
      <c r="BD95" s="70">
        <f t="shared" si="22"/>
        <v>0</v>
      </c>
      <c r="BK95" s="26">
        <f t="shared" si="44"/>
        <v>0</v>
      </c>
      <c r="BL95" s="26">
        <f t="shared" si="44"/>
        <v>0</v>
      </c>
      <c r="BN95" s="29">
        <f t="shared" si="45"/>
        <v>0</v>
      </c>
    </row>
    <row r="96" spans="1:68" ht="14.25">
      <c r="A96" s="10">
        <v>8</v>
      </c>
      <c r="B96" s="61" t="s">
        <v>11</v>
      </c>
      <c r="C96" s="8"/>
      <c r="D96" s="7"/>
      <c r="E96" s="7">
        <f aca="true" t="shared" si="46" ref="E96:N96">SUM(E97:E109)</f>
        <v>0</v>
      </c>
      <c r="F96" s="7">
        <f t="shared" si="46"/>
        <v>0</v>
      </c>
      <c r="G96" s="7">
        <f t="shared" si="46"/>
        <v>0</v>
      </c>
      <c r="H96" s="7">
        <f t="shared" si="46"/>
        <v>3488</v>
      </c>
      <c r="I96" s="7">
        <f t="shared" si="46"/>
        <v>0</v>
      </c>
      <c r="J96" s="7">
        <f t="shared" si="46"/>
        <v>0</v>
      </c>
      <c r="K96" s="7">
        <f t="shared" si="46"/>
        <v>0</v>
      </c>
      <c r="L96" s="7">
        <f t="shared" si="46"/>
        <v>0</v>
      </c>
      <c r="M96" s="7">
        <f t="shared" si="46"/>
        <v>0</v>
      </c>
      <c r="N96" s="7">
        <f t="shared" si="46"/>
        <v>0</v>
      </c>
      <c r="O96" s="9"/>
      <c r="P96" s="28"/>
      <c r="Q96" s="7">
        <f aca="true" t="shared" si="47" ref="Q96:AP96">SUM(Q97:Q109)</f>
        <v>0</v>
      </c>
      <c r="R96" s="7">
        <f t="shared" si="47"/>
        <v>0</v>
      </c>
      <c r="S96" s="7">
        <f t="shared" si="47"/>
        <v>0</v>
      </c>
      <c r="T96" s="7">
        <f t="shared" si="47"/>
        <v>0</v>
      </c>
      <c r="U96" s="7">
        <f t="shared" si="47"/>
        <v>0</v>
      </c>
      <c r="V96" s="7">
        <f t="shared" si="47"/>
        <v>0</v>
      </c>
      <c r="W96" s="7">
        <f t="shared" si="47"/>
        <v>0</v>
      </c>
      <c r="X96" s="7">
        <f t="shared" si="47"/>
        <v>0</v>
      </c>
      <c r="Y96" s="7">
        <f t="shared" si="47"/>
        <v>0</v>
      </c>
      <c r="Z96" s="7">
        <f t="shared" si="47"/>
        <v>0</v>
      </c>
      <c r="AA96" s="7">
        <f t="shared" si="47"/>
        <v>0</v>
      </c>
      <c r="AB96" s="7">
        <f t="shared" si="47"/>
        <v>0</v>
      </c>
      <c r="AC96" s="7">
        <f t="shared" si="47"/>
        <v>0</v>
      </c>
      <c r="AD96" s="7">
        <f t="shared" si="47"/>
        <v>0</v>
      </c>
      <c r="AE96" s="7">
        <f t="shared" si="47"/>
        <v>0</v>
      </c>
      <c r="AF96" s="7">
        <f t="shared" si="47"/>
        <v>0</v>
      </c>
      <c r="AG96" s="7">
        <f t="shared" si="47"/>
        <v>0</v>
      </c>
      <c r="AH96" s="7">
        <f t="shared" si="47"/>
        <v>0</v>
      </c>
      <c r="AI96" s="7">
        <f t="shared" si="47"/>
        <v>0</v>
      </c>
      <c r="AJ96" s="7">
        <f t="shared" si="47"/>
        <v>0</v>
      </c>
      <c r="AK96" s="7">
        <f t="shared" si="47"/>
        <v>3</v>
      </c>
      <c r="AL96" s="7">
        <f t="shared" si="47"/>
        <v>828</v>
      </c>
      <c r="AM96" s="7">
        <f t="shared" si="47"/>
        <v>95.4</v>
      </c>
      <c r="AN96" s="7">
        <f t="shared" si="47"/>
        <v>2481.5</v>
      </c>
      <c r="AO96" s="7">
        <f t="shared" si="47"/>
        <v>98.4</v>
      </c>
      <c r="AP96" s="7">
        <f t="shared" si="47"/>
        <v>3309.5</v>
      </c>
      <c r="AQ96" s="9"/>
      <c r="AR96" s="9"/>
      <c r="AS96" s="7">
        <f>SUM(AS97:AS109)</f>
        <v>178.5</v>
      </c>
      <c r="AT96" s="9"/>
      <c r="AU96" s="9"/>
      <c r="AV96" s="9"/>
      <c r="AW96" s="8">
        <f aca="true" t="shared" si="48" ref="AW96:BL96">SUM(AW97:AW109)</f>
        <v>0</v>
      </c>
      <c r="AX96" s="8">
        <f t="shared" si="48"/>
        <v>0</v>
      </c>
      <c r="AY96" s="8">
        <f t="shared" si="48"/>
        <v>0</v>
      </c>
      <c r="AZ96" s="8">
        <f t="shared" si="48"/>
        <v>0</v>
      </c>
      <c r="BA96" s="8">
        <f t="shared" si="48"/>
        <v>0</v>
      </c>
      <c r="BB96" s="8">
        <f t="shared" si="48"/>
        <v>0</v>
      </c>
      <c r="BC96" s="8">
        <f t="shared" si="48"/>
        <v>98.4</v>
      </c>
      <c r="BD96" s="8">
        <f t="shared" si="48"/>
        <v>3309.5</v>
      </c>
      <c r="BE96" s="8">
        <f t="shared" si="48"/>
        <v>0</v>
      </c>
      <c r="BF96" s="8">
        <f t="shared" si="48"/>
        <v>0</v>
      </c>
      <c r="BG96" s="8">
        <f t="shared" si="48"/>
        <v>0</v>
      </c>
      <c r="BH96" s="8">
        <f t="shared" si="48"/>
        <v>0</v>
      </c>
      <c r="BI96" s="8">
        <f t="shared" si="48"/>
        <v>0</v>
      </c>
      <c r="BJ96" s="8">
        <f t="shared" si="48"/>
        <v>0</v>
      </c>
      <c r="BK96" s="8">
        <f t="shared" si="48"/>
        <v>98.4</v>
      </c>
      <c r="BL96" s="8">
        <f t="shared" si="48"/>
        <v>3309.5</v>
      </c>
      <c r="BM96" s="8"/>
      <c r="BN96" s="8">
        <f>SUM(BN97:BN109)</f>
        <v>0</v>
      </c>
      <c r="BO96" s="9"/>
      <c r="BP96" s="9"/>
    </row>
    <row r="97" spans="2:66" ht="12.75">
      <c r="B97" s="40" t="s">
        <v>287</v>
      </c>
      <c r="C97" s="5" t="s">
        <v>23</v>
      </c>
      <c r="O97" s="2">
        <f t="shared" si="20"/>
        <v>0</v>
      </c>
      <c r="AO97" s="2">
        <f aca="true" t="shared" si="49" ref="AO97:AP109">Q97+S97+U97+W97+Y97+AA97+AC97+AE97+AG97+AI97+AK97+AM97</f>
        <v>0</v>
      </c>
      <c r="AP97" s="2">
        <f t="shared" si="49"/>
        <v>0</v>
      </c>
      <c r="AS97" s="2">
        <f t="shared" si="21"/>
        <v>0</v>
      </c>
      <c r="BC97" s="70">
        <f t="shared" si="22"/>
        <v>0</v>
      </c>
      <c r="BD97" s="70">
        <f t="shared" si="22"/>
        <v>0</v>
      </c>
      <c r="BK97" s="26">
        <f aca="true" t="shared" si="50" ref="BK97:BL109">AW97+AY97+BA97+BC97+BE97+BG97+BI97</f>
        <v>0</v>
      </c>
      <c r="BL97" s="26">
        <f t="shared" si="50"/>
        <v>0</v>
      </c>
      <c r="BN97" s="29">
        <f t="shared" si="45"/>
        <v>0</v>
      </c>
    </row>
    <row r="98" spans="2:66" ht="12.75">
      <c r="B98" s="40" t="s">
        <v>288</v>
      </c>
      <c r="C98" s="5" t="s">
        <v>2</v>
      </c>
      <c r="O98" s="2">
        <f t="shared" si="20"/>
        <v>0</v>
      </c>
      <c r="AO98" s="2">
        <f t="shared" si="49"/>
        <v>0</v>
      </c>
      <c r="AP98" s="2">
        <f t="shared" si="49"/>
        <v>0</v>
      </c>
      <c r="AS98" s="2">
        <f t="shared" si="21"/>
        <v>0</v>
      </c>
      <c r="BC98" s="70">
        <f t="shared" si="22"/>
        <v>0</v>
      </c>
      <c r="BD98" s="70">
        <f t="shared" si="22"/>
        <v>0</v>
      </c>
      <c r="BK98" s="26">
        <f>AW98+AY98+BA98+BC98+BE98+BG98+BI98</f>
        <v>0</v>
      </c>
      <c r="BL98" s="26">
        <f t="shared" si="50"/>
        <v>0</v>
      </c>
      <c r="BN98" s="29">
        <f t="shared" si="45"/>
        <v>0</v>
      </c>
    </row>
    <row r="99" spans="2:66" ht="12.75">
      <c r="B99" s="40" t="s">
        <v>25</v>
      </c>
      <c r="C99" s="5" t="s">
        <v>310</v>
      </c>
      <c r="D99" s="38">
        <f>5*5</f>
        <v>25</v>
      </c>
      <c r="H99">
        <f>D99*20</f>
        <v>500</v>
      </c>
      <c r="O99" s="2">
        <f t="shared" si="20"/>
        <v>500</v>
      </c>
      <c r="AM99">
        <f>5*5</f>
        <v>25</v>
      </c>
      <c r="AN99">
        <v>550</v>
      </c>
      <c r="AO99" s="2">
        <f t="shared" si="49"/>
        <v>25</v>
      </c>
      <c r="AP99" s="2">
        <f t="shared" si="49"/>
        <v>550</v>
      </c>
      <c r="AS99" s="2">
        <f t="shared" si="21"/>
        <v>-50</v>
      </c>
      <c r="BC99" s="70">
        <f t="shared" si="22"/>
        <v>25</v>
      </c>
      <c r="BD99" s="70">
        <f t="shared" si="22"/>
        <v>550</v>
      </c>
      <c r="BK99" s="26">
        <f t="shared" si="50"/>
        <v>25</v>
      </c>
      <c r="BL99" s="26">
        <f t="shared" si="50"/>
        <v>550</v>
      </c>
      <c r="BN99" s="29">
        <f t="shared" si="45"/>
        <v>0</v>
      </c>
    </row>
    <row r="100" spans="2:66" ht="12.75">
      <c r="B100" s="40" t="s">
        <v>26</v>
      </c>
      <c r="C100" s="5" t="s">
        <v>23</v>
      </c>
      <c r="D100" s="35">
        <v>5.76</v>
      </c>
      <c r="H100">
        <f>D100*50</f>
        <v>288</v>
      </c>
      <c r="O100" s="2">
        <f t="shared" si="20"/>
        <v>288</v>
      </c>
      <c r="AM100">
        <f>2*4.5+1*2.4</f>
        <v>11.4</v>
      </c>
      <c r="AN100">
        <f>350+100</f>
        <v>450</v>
      </c>
      <c r="AO100" s="2">
        <f t="shared" si="49"/>
        <v>11.4</v>
      </c>
      <c r="AP100" s="2">
        <f t="shared" si="49"/>
        <v>450</v>
      </c>
      <c r="AS100" s="2">
        <f t="shared" si="21"/>
        <v>-162</v>
      </c>
      <c r="BC100" s="70">
        <f t="shared" si="22"/>
        <v>11.4</v>
      </c>
      <c r="BD100" s="70">
        <f t="shared" si="22"/>
        <v>450</v>
      </c>
      <c r="BK100" s="26">
        <f t="shared" si="50"/>
        <v>11.4</v>
      </c>
      <c r="BL100" s="26">
        <f t="shared" si="50"/>
        <v>450</v>
      </c>
      <c r="BN100" s="29">
        <f t="shared" si="45"/>
        <v>0</v>
      </c>
    </row>
    <row r="101" spans="2:66" ht="12.75">
      <c r="B101" s="40" t="s">
        <v>27</v>
      </c>
      <c r="C101" s="5" t="s">
        <v>2</v>
      </c>
      <c r="D101" s="38">
        <v>20</v>
      </c>
      <c r="H101">
        <f>D101*30</f>
        <v>600</v>
      </c>
      <c r="O101" s="2">
        <f aca="true" t="shared" si="51" ref="O101:O165">SUM(E101:N101)</f>
        <v>600</v>
      </c>
      <c r="AM101">
        <f>17*1.5</f>
        <v>25.5</v>
      </c>
      <c r="AN101">
        <v>595</v>
      </c>
      <c r="AO101" s="2">
        <f t="shared" si="49"/>
        <v>25.5</v>
      </c>
      <c r="AP101" s="2">
        <f t="shared" si="49"/>
        <v>595</v>
      </c>
      <c r="AS101" s="2">
        <f t="shared" si="21"/>
        <v>5</v>
      </c>
      <c r="BC101" s="70">
        <f aca="true" t="shared" si="52" ref="BC101:BD164">AO101</f>
        <v>25.5</v>
      </c>
      <c r="BD101" s="70">
        <f t="shared" si="52"/>
        <v>595</v>
      </c>
      <c r="BK101" s="26">
        <f t="shared" si="50"/>
        <v>25.5</v>
      </c>
      <c r="BL101" s="26">
        <f t="shared" si="50"/>
        <v>595</v>
      </c>
      <c r="BN101" s="29">
        <f t="shared" si="45"/>
        <v>0</v>
      </c>
    </row>
    <row r="102" spans="2:66" ht="12.75">
      <c r="B102" s="40" t="s">
        <v>28</v>
      </c>
      <c r="C102" s="5" t="s">
        <v>2</v>
      </c>
      <c r="D102" s="38">
        <v>20</v>
      </c>
      <c r="H102">
        <f>D102*50</f>
        <v>1000</v>
      </c>
      <c r="O102" s="2">
        <f t="shared" si="51"/>
        <v>1000</v>
      </c>
      <c r="AM102">
        <f>45*0.5</f>
        <v>22.5</v>
      </c>
      <c r="AN102">
        <v>787.5</v>
      </c>
      <c r="AO102" s="2">
        <f t="shared" si="49"/>
        <v>22.5</v>
      </c>
      <c r="AP102" s="2">
        <f t="shared" si="49"/>
        <v>787.5</v>
      </c>
      <c r="AS102" s="2">
        <f t="shared" si="21"/>
        <v>212.5</v>
      </c>
      <c r="BC102" s="70">
        <f t="shared" si="52"/>
        <v>22.5</v>
      </c>
      <c r="BD102" s="70">
        <f t="shared" si="52"/>
        <v>787.5</v>
      </c>
      <c r="BK102" s="26">
        <f t="shared" si="50"/>
        <v>22.5</v>
      </c>
      <c r="BL102" s="26">
        <f t="shared" si="50"/>
        <v>787.5</v>
      </c>
      <c r="BN102" s="29">
        <f t="shared" si="45"/>
        <v>0</v>
      </c>
    </row>
    <row r="103" spans="2:66" ht="12.75">
      <c r="B103" s="40" t="s">
        <v>29</v>
      </c>
      <c r="C103" s="5" t="s">
        <v>2</v>
      </c>
      <c r="D103" s="38">
        <v>20</v>
      </c>
      <c r="H103">
        <f>D103*5</f>
        <v>100</v>
      </c>
      <c r="O103" s="2">
        <f t="shared" si="51"/>
        <v>100</v>
      </c>
      <c r="AM103">
        <v>11</v>
      </c>
      <c r="AN103">
        <f>AM103*9</f>
        <v>99</v>
      </c>
      <c r="AO103" s="2">
        <f t="shared" si="49"/>
        <v>11</v>
      </c>
      <c r="AP103" s="2">
        <f t="shared" si="49"/>
        <v>99</v>
      </c>
      <c r="AS103" s="2">
        <f t="shared" si="21"/>
        <v>1</v>
      </c>
      <c r="BC103" s="70">
        <f t="shared" si="52"/>
        <v>11</v>
      </c>
      <c r="BD103" s="70">
        <f t="shared" si="52"/>
        <v>99</v>
      </c>
      <c r="BK103" s="26">
        <f t="shared" si="50"/>
        <v>11</v>
      </c>
      <c r="BL103" s="26">
        <f t="shared" si="50"/>
        <v>99</v>
      </c>
      <c r="BN103" s="29">
        <f t="shared" si="45"/>
        <v>0</v>
      </c>
    </row>
    <row r="104" spans="2:66" ht="12.75">
      <c r="B104" s="40" t="s">
        <v>30</v>
      </c>
      <c r="C104" s="5" t="s">
        <v>2</v>
      </c>
      <c r="D104" s="19"/>
      <c r="O104" s="2">
        <f t="shared" si="51"/>
        <v>0</v>
      </c>
      <c r="AO104" s="2">
        <f t="shared" si="49"/>
        <v>0</v>
      </c>
      <c r="AP104" s="2">
        <f t="shared" si="49"/>
        <v>0</v>
      </c>
      <c r="AS104" s="2">
        <f aca="true" t="shared" si="53" ref="AS104:AS168">O104-AP104</f>
        <v>0</v>
      </c>
      <c r="BC104" s="70">
        <f t="shared" si="52"/>
        <v>0</v>
      </c>
      <c r="BD104" s="70">
        <f t="shared" si="52"/>
        <v>0</v>
      </c>
      <c r="BK104" s="26">
        <f t="shared" si="50"/>
        <v>0</v>
      </c>
      <c r="BL104" s="26">
        <f t="shared" si="50"/>
        <v>0</v>
      </c>
      <c r="BN104" s="29">
        <f t="shared" si="45"/>
        <v>0</v>
      </c>
    </row>
    <row r="105" spans="2:66" ht="12.75">
      <c r="B105" s="40" t="s">
        <v>289</v>
      </c>
      <c r="C105" s="5" t="s">
        <v>2</v>
      </c>
      <c r="D105" s="38">
        <v>5</v>
      </c>
      <c r="H105">
        <f>D105*200</f>
        <v>1000</v>
      </c>
      <c r="O105" s="2">
        <f t="shared" si="51"/>
        <v>1000</v>
      </c>
      <c r="AK105">
        <v>3</v>
      </c>
      <c r="AL105">
        <v>828</v>
      </c>
      <c r="AO105" s="2">
        <f t="shared" si="49"/>
        <v>3</v>
      </c>
      <c r="AP105" s="2">
        <f t="shared" si="49"/>
        <v>828</v>
      </c>
      <c r="AS105" s="2">
        <f t="shared" si="53"/>
        <v>172</v>
      </c>
      <c r="BC105" s="70">
        <f t="shared" si="52"/>
        <v>3</v>
      </c>
      <c r="BD105" s="70">
        <f t="shared" si="52"/>
        <v>828</v>
      </c>
      <c r="BK105" s="26">
        <f t="shared" si="50"/>
        <v>3</v>
      </c>
      <c r="BL105" s="26">
        <f t="shared" si="50"/>
        <v>828</v>
      </c>
      <c r="BN105" s="29">
        <f t="shared" si="45"/>
        <v>0</v>
      </c>
    </row>
    <row r="106" spans="2:66" ht="12.75">
      <c r="B106" s="40" t="s">
        <v>284</v>
      </c>
      <c r="C106" s="5" t="s">
        <v>23</v>
      </c>
      <c r="O106" s="2">
        <f t="shared" si="51"/>
        <v>0</v>
      </c>
      <c r="AO106" s="2">
        <f t="shared" si="49"/>
        <v>0</v>
      </c>
      <c r="AP106" s="2">
        <f t="shared" si="49"/>
        <v>0</v>
      </c>
      <c r="AS106" s="2">
        <f t="shared" si="53"/>
        <v>0</v>
      </c>
      <c r="BC106" s="70">
        <f t="shared" si="52"/>
        <v>0</v>
      </c>
      <c r="BD106" s="70">
        <f t="shared" si="52"/>
        <v>0</v>
      </c>
      <c r="BK106" s="26">
        <f t="shared" si="50"/>
        <v>0</v>
      </c>
      <c r="BL106" s="26">
        <f t="shared" si="50"/>
        <v>0</v>
      </c>
      <c r="BN106" s="29">
        <f t="shared" si="45"/>
        <v>0</v>
      </c>
    </row>
    <row r="107" spans="2:66" ht="12.75">
      <c r="B107" s="40" t="s">
        <v>311</v>
      </c>
      <c r="C107" s="5"/>
      <c r="O107" s="2">
        <f t="shared" si="51"/>
        <v>0</v>
      </c>
      <c r="AO107" s="2">
        <f t="shared" si="49"/>
        <v>0</v>
      </c>
      <c r="AP107" s="2">
        <f t="shared" si="49"/>
        <v>0</v>
      </c>
      <c r="AS107" s="2">
        <f t="shared" si="53"/>
        <v>0</v>
      </c>
      <c r="BC107" s="70">
        <f t="shared" si="52"/>
        <v>0</v>
      </c>
      <c r="BD107" s="70">
        <f t="shared" si="52"/>
        <v>0</v>
      </c>
      <c r="BK107" s="26">
        <f t="shared" si="50"/>
        <v>0</v>
      </c>
      <c r="BL107" s="26">
        <f t="shared" si="50"/>
        <v>0</v>
      </c>
      <c r="BN107" s="29">
        <f t="shared" si="45"/>
        <v>0</v>
      </c>
    </row>
    <row r="108" spans="2:66" ht="12.75">
      <c r="B108" s="40" t="s">
        <v>312</v>
      </c>
      <c r="C108" s="5" t="s">
        <v>23</v>
      </c>
      <c r="O108" s="2">
        <f t="shared" si="51"/>
        <v>0</v>
      </c>
      <c r="AO108" s="2">
        <f t="shared" si="49"/>
        <v>0</v>
      </c>
      <c r="AP108" s="2">
        <f t="shared" si="49"/>
        <v>0</v>
      </c>
      <c r="AS108" s="2">
        <f>O108-AP108</f>
        <v>0</v>
      </c>
      <c r="BC108" s="70">
        <f t="shared" si="52"/>
        <v>0</v>
      </c>
      <c r="BD108" s="70">
        <f t="shared" si="52"/>
        <v>0</v>
      </c>
      <c r="BK108" s="26">
        <f t="shared" si="50"/>
        <v>0</v>
      </c>
      <c r="BL108" s="26">
        <f t="shared" si="50"/>
        <v>0</v>
      </c>
      <c r="BN108" s="29">
        <f t="shared" si="45"/>
        <v>0</v>
      </c>
    </row>
    <row r="109" spans="2:66" ht="12.75">
      <c r="B109" s="40" t="s">
        <v>313</v>
      </c>
      <c r="C109" s="5" t="s">
        <v>298</v>
      </c>
      <c r="O109" s="2">
        <f t="shared" si="51"/>
        <v>0</v>
      </c>
      <c r="AO109" s="2">
        <f t="shared" si="49"/>
        <v>0</v>
      </c>
      <c r="AP109" s="2">
        <f t="shared" si="49"/>
        <v>0</v>
      </c>
      <c r="AS109" s="2">
        <f t="shared" si="53"/>
        <v>0</v>
      </c>
      <c r="BC109" s="70">
        <f t="shared" si="52"/>
        <v>0</v>
      </c>
      <c r="BD109" s="70">
        <f t="shared" si="52"/>
        <v>0</v>
      </c>
      <c r="BK109" s="26">
        <f t="shared" si="50"/>
        <v>0</v>
      </c>
      <c r="BL109" s="26">
        <f t="shared" si="50"/>
        <v>0</v>
      </c>
      <c r="BN109" s="29">
        <f t="shared" si="45"/>
        <v>0</v>
      </c>
    </row>
    <row r="110" spans="1:68" ht="14.25">
      <c r="A110" s="10">
        <v>9</v>
      </c>
      <c r="B110" s="61" t="s">
        <v>12</v>
      </c>
      <c r="C110" s="8"/>
      <c r="D110" s="7"/>
      <c r="E110" s="7">
        <f aca="true" t="shared" si="54" ref="E110:N110">SUM(E111:E143)</f>
        <v>0</v>
      </c>
      <c r="F110" s="7">
        <f t="shared" si="54"/>
        <v>0</v>
      </c>
      <c r="G110" s="7">
        <f t="shared" si="54"/>
        <v>0</v>
      </c>
      <c r="H110" s="7">
        <f t="shared" si="54"/>
        <v>2950</v>
      </c>
      <c r="I110" s="7">
        <f t="shared" si="54"/>
        <v>0</v>
      </c>
      <c r="J110" s="7">
        <f t="shared" si="54"/>
        <v>-125</v>
      </c>
      <c r="K110" s="7">
        <f t="shared" si="54"/>
        <v>0</v>
      </c>
      <c r="L110" s="7">
        <f>SUM(L111:L143)</f>
        <v>0</v>
      </c>
      <c r="M110" s="7">
        <f t="shared" si="54"/>
        <v>0</v>
      </c>
      <c r="N110" s="7">
        <f t="shared" si="54"/>
        <v>0</v>
      </c>
      <c r="O110" s="9"/>
      <c r="P110" s="28"/>
      <c r="Q110" s="7">
        <f aca="true" t="shared" si="55" ref="Q110:AO110">SUM(Q111:Q143)</f>
        <v>0</v>
      </c>
      <c r="R110" s="7">
        <f>SUM(R111:R143)</f>
        <v>0</v>
      </c>
      <c r="S110" s="7">
        <f t="shared" si="55"/>
        <v>8</v>
      </c>
      <c r="T110" s="7">
        <f t="shared" si="55"/>
        <v>1275</v>
      </c>
      <c r="U110" s="7">
        <f t="shared" si="55"/>
        <v>0</v>
      </c>
      <c r="V110" s="7">
        <f t="shared" si="55"/>
        <v>0</v>
      </c>
      <c r="W110" s="7">
        <f t="shared" si="55"/>
        <v>15</v>
      </c>
      <c r="X110" s="7">
        <f t="shared" si="55"/>
        <v>750</v>
      </c>
      <c r="Y110" s="7">
        <f t="shared" si="55"/>
        <v>0</v>
      </c>
      <c r="Z110" s="7">
        <f t="shared" si="55"/>
        <v>0</v>
      </c>
      <c r="AA110" s="7">
        <f t="shared" si="55"/>
        <v>0</v>
      </c>
      <c r="AB110" s="7">
        <f t="shared" si="55"/>
        <v>0</v>
      </c>
      <c r="AC110" s="7">
        <f t="shared" si="55"/>
        <v>0</v>
      </c>
      <c r="AD110" s="7">
        <f t="shared" si="55"/>
        <v>0</v>
      </c>
      <c r="AE110" s="7">
        <f t="shared" si="55"/>
        <v>0</v>
      </c>
      <c r="AF110" s="7">
        <f t="shared" si="55"/>
        <v>0</v>
      </c>
      <c r="AG110" s="7">
        <f t="shared" si="55"/>
        <v>0</v>
      </c>
      <c r="AH110" s="7">
        <f t="shared" si="55"/>
        <v>0</v>
      </c>
      <c r="AI110" s="7">
        <f t="shared" si="55"/>
        <v>0</v>
      </c>
      <c r="AJ110" s="7">
        <f t="shared" si="55"/>
        <v>0</v>
      </c>
      <c r="AK110" s="7">
        <f t="shared" si="55"/>
        <v>0</v>
      </c>
      <c r="AL110" s="7">
        <f t="shared" si="55"/>
        <v>0</v>
      </c>
      <c r="AM110" s="7">
        <f t="shared" si="55"/>
        <v>0</v>
      </c>
      <c r="AN110" s="7">
        <f t="shared" si="55"/>
        <v>0</v>
      </c>
      <c r="AO110" s="7">
        <f t="shared" si="55"/>
        <v>23</v>
      </c>
      <c r="AP110" s="7">
        <f>SUM(AP111:AP143)</f>
        <v>2025</v>
      </c>
      <c r="AQ110" s="9"/>
      <c r="AR110" s="9"/>
      <c r="AS110" s="7">
        <f>SUM(AS111:AS143)</f>
        <v>800</v>
      </c>
      <c r="AT110" s="9"/>
      <c r="AU110" s="9"/>
      <c r="AV110" s="9"/>
      <c r="AW110" s="8">
        <f aca="true" t="shared" si="56" ref="AW110:BD110">SUM(AW111:AW143)</f>
        <v>0</v>
      </c>
      <c r="AX110" s="8">
        <f t="shared" si="56"/>
        <v>0</v>
      </c>
      <c r="AY110" s="8">
        <f t="shared" si="56"/>
        <v>0</v>
      </c>
      <c r="AZ110" s="8">
        <f t="shared" si="56"/>
        <v>0</v>
      </c>
      <c r="BA110" s="8">
        <f t="shared" si="56"/>
        <v>0</v>
      </c>
      <c r="BB110" s="8">
        <f t="shared" si="56"/>
        <v>0</v>
      </c>
      <c r="BC110" s="8">
        <f t="shared" si="56"/>
        <v>23</v>
      </c>
      <c r="BD110" s="8">
        <f t="shared" si="56"/>
        <v>2025</v>
      </c>
      <c r="BE110" s="8">
        <f aca="true" t="shared" si="57" ref="BE110:BL110">SUM(BE111:BE143)</f>
        <v>0</v>
      </c>
      <c r="BF110" s="8">
        <f t="shared" si="57"/>
        <v>0</v>
      </c>
      <c r="BG110" s="8">
        <f t="shared" si="57"/>
        <v>0</v>
      </c>
      <c r="BH110" s="8">
        <f t="shared" si="57"/>
        <v>0</v>
      </c>
      <c r="BI110" s="8">
        <f t="shared" si="57"/>
        <v>0</v>
      </c>
      <c r="BJ110" s="8">
        <f t="shared" si="57"/>
        <v>0</v>
      </c>
      <c r="BK110" s="8">
        <f t="shared" si="57"/>
        <v>23</v>
      </c>
      <c r="BL110" s="8">
        <f t="shared" si="57"/>
        <v>2025</v>
      </c>
      <c r="BM110" s="8"/>
      <c r="BN110" s="8">
        <f>SUM(BN111:BN143)</f>
        <v>0</v>
      </c>
      <c r="BO110" s="9"/>
      <c r="BP110" s="9"/>
    </row>
    <row r="111" spans="2:66" ht="12.75">
      <c r="B111" s="40" t="s">
        <v>31</v>
      </c>
      <c r="C111" s="5" t="s">
        <v>2</v>
      </c>
      <c r="O111" s="2">
        <f t="shared" si="51"/>
        <v>0</v>
      </c>
      <c r="AO111" s="2">
        <f aca="true" t="shared" si="58" ref="AO111:AP126">Q111+S111+U111+W111+Y111+AA111+AC111+AE111+AG111+AI111+AK111+AM111</f>
        <v>0</v>
      </c>
      <c r="AP111" s="2">
        <f t="shared" si="58"/>
        <v>0</v>
      </c>
      <c r="AS111" s="2">
        <f t="shared" si="53"/>
        <v>0</v>
      </c>
      <c r="BC111" s="70">
        <f t="shared" si="52"/>
        <v>0</v>
      </c>
      <c r="BD111" s="70">
        <f t="shared" si="52"/>
        <v>0</v>
      </c>
      <c r="BK111" s="26">
        <f aca="true" t="shared" si="59" ref="BK111:BL143">AW111+AY111+BA111+BC111+BE111+BG111+BI111</f>
        <v>0</v>
      </c>
      <c r="BL111" s="26">
        <f t="shared" si="59"/>
        <v>0</v>
      </c>
      <c r="BN111" s="29">
        <f t="shared" si="45"/>
        <v>0</v>
      </c>
    </row>
    <row r="112" spans="2:66" ht="12.75">
      <c r="B112" s="40" t="s">
        <v>32</v>
      </c>
      <c r="C112" s="5" t="s">
        <v>2</v>
      </c>
      <c r="D112" s="38">
        <v>15</v>
      </c>
      <c r="H112">
        <f>D112*50</f>
        <v>750</v>
      </c>
      <c r="O112" s="2">
        <f t="shared" si="51"/>
        <v>750</v>
      </c>
      <c r="W112">
        <v>15</v>
      </c>
      <c r="X112">
        <v>750</v>
      </c>
      <c r="AO112" s="2">
        <f t="shared" si="58"/>
        <v>15</v>
      </c>
      <c r="AP112" s="2">
        <f t="shared" si="58"/>
        <v>750</v>
      </c>
      <c r="AS112" s="2">
        <f t="shared" si="53"/>
        <v>0</v>
      </c>
      <c r="BC112" s="70">
        <f t="shared" si="52"/>
        <v>15</v>
      </c>
      <c r="BD112" s="70">
        <f t="shared" si="52"/>
        <v>750</v>
      </c>
      <c r="BK112" s="26">
        <f t="shared" si="59"/>
        <v>15</v>
      </c>
      <c r="BL112" s="26">
        <f t="shared" si="59"/>
        <v>750</v>
      </c>
      <c r="BN112" s="29">
        <f t="shared" si="45"/>
        <v>0</v>
      </c>
    </row>
    <row r="113" spans="2:66" ht="12.75">
      <c r="B113" s="40" t="s">
        <v>179</v>
      </c>
      <c r="C113" s="5" t="s">
        <v>2</v>
      </c>
      <c r="O113" s="2">
        <f t="shared" si="51"/>
        <v>0</v>
      </c>
      <c r="AO113" s="2">
        <f t="shared" si="58"/>
        <v>0</v>
      </c>
      <c r="AP113" s="2">
        <f t="shared" si="58"/>
        <v>0</v>
      </c>
      <c r="AS113" s="2">
        <f t="shared" si="53"/>
        <v>0</v>
      </c>
      <c r="BC113" s="70">
        <f t="shared" si="52"/>
        <v>0</v>
      </c>
      <c r="BD113" s="70">
        <f t="shared" si="52"/>
        <v>0</v>
      </c>
      <c r="BK113" s="26">
        <f t="shared" si="59"/>
        <v>0</v>
      </c>
      <c r="BL113" s="26">
        <f t="shared" si="59"/>
        <v>0</v>
      </c>
      <c r="BN113" s="29">
        <f t="shared" si="45"/>
        <v>0</v>
      </c>
    </row>
    <row r="114" spans="2:66" ht="12.75">
      <c r="B114" s="40" t="s">
        <v>33</v>
      </c>
      <c r="C114" s="5" t="s">
        <v>23</v>
      </c>
      <c r="O114" s="2">
        <f t="shared" si="51"/>
        <v>0</v>
      </c>
      <c r="AO114" s="2">
        <f t="shared" si="58"/>
        <v>0</v>
      </c>
      <c r="AP114" s="2">
        <f t="shared" si="58"/>
        <v>0</v>
      </c>
      <c r="AS114" s="2">
        <f t="shared" si="53"/>
        <v>0</v>
      </c>
      <c r="BC114" s="70">
        <f t="shared" si="52"/>
        <v>0</v>
      </c>
      <c r="BD114" s="70">
        <f t="shared" si="52"/>
        <v>0</v>
      </c>
      <c r="BK114" s="26">
        <f t="shared" si="59"/>
        <v>0</v>
      </c>
      <c r="BL114" s="26">
        <f t="shared" si="59"/>
        <v>0</v>
      </c>
      <c r="BN114" s="29">
        <f t="shared" si="45"/>
        <v>0</v>
      </c>
    </row>
    <row r="115" spans="2:66" ht="12.75">
      <c r="B115" s="40" t="s">
        <v>97</v>
      </c>
      <c r="C115" s="5" t="s">
        <v>2</v>
      </c>
      <c r="D115" s="19"/>
      <c r="O115" s="2">
        <f t="shared" si="51"/>
        <v>0</v>
      </c>
      <c r="AO115" s="2">
        <f t="shared" si="58"/>
        <v>0</v>
      </c>
      <c r="AP115" s="2">
        <f t="shared" si="58"/>
        <v>0</v>
      </c>
      <c r="AS115" s="2">
        <f t="shared" si="53"/>
        <v>0</v>
      </c>
      <c r="BC115" s="70">
        <f t="shared" si="52"/>
        <v>0</v>
      </c>
      <c r="BD115" s="70">
        <f t="shared" si="52"/>
        <v>0</v>
      </c>
      <c r="BK115" s="26">
        <f t="shared" si="59"/>
        <v>0</v>
      </c>
      <c r="BL115" s="26">
        <f t="shared" si="59"/>
        <v>0</v>
      </c>
      <c r="BN115" s="29">
        <f t="shared" si="45"/>
        <v>0</v>
      </c>
    </row>
    <row r="116" spans="2:66" ht="12.75">
      <c r="B116" s="40" t="s">
        <v>123</v>
      </c>
      <c r="C116" s="5" t="s">
        <v>2</v>
      </c>
      <c r="D116" s="19"/>
      <c r="O116" s="2">
        <f t="shared" si="51"/>
        <v>0</v>
      </c>
      <c r="AO116" s="2">
        <f t="shared" si="58"/>
        <v>0</v>
      </c>
      <c r="AP116" s="2">
        <f t="shared" si="58"/>
        <v>0</v>
      </c>
      <c r="AS116" s="2">
        <f t="shared" si="53"/>
        <v>0</v>
      </c>
      <c r="BC116" s="70">
        <f t="shared" si="52"/>
        <v>0</v>
      </c>
      <c r="BD116" s="70">
        <f t="shared" si="52"/>
        <v>0</v>
      </c>
      <c r="BK116" s="26">
        <f t="shared" si="59"/>
        <v>0</v>
      </c>
      <c r="BL116" s="26">
        <f t="shared" si="59"/>
        <v>0</v>
      </c>
      <c r="BN116" s="29">
        <f t="shared" si="45"/>
        <v>0</v>
      </c>
    </row>
    <row r="117" spans="2:66" ht="12.75">
      <c r="B117" s="40" t="s">
        <v>34</v>
      </c>
      <c r="C117" s="5" t="s">
        <v>23</v>
      </c>
      <c r="D117" s="19"/>
      <c r="O117" s="2">
        <f t="shared" si="51"/>
        <v>0</v>
      </c>
      <c r="AO117" s="2">
        <f t="shared" si="58"/>
        <v>0</v>
      </c>
      <c r="AP117" s="2">
        <f t="shared" si="58"/>
        <v>0</v>
      </c>
      <c r="AS117" s="2">
        <f t="shared" si="53"/>
        <v>0</v>
      </c>
      <c r="BC117" s="70">
        <f t="shared" si="52"/>
        <v>0</v>
      </c>
      <c r="BD117" s="70">
        <f t="shared" si="52"/>
        <v>0</v>
      </c>
      <c r="BK117" s="26">
        <f t="shared" si="59"/>
        <v>0</v>
      </c>
      <c r="BL117" s="26">
        <f t="shared" si="59"/>
        <v>0</v>
      </c>
      <c r="BN117" s="29">
        <f t="shared" si="45"/>
        <v>0</v>
      </c>
    </row>
    <row r="118" spans="2:66" ht="12.75">
      <c r="B118" s="40" t="s">
        <v>237</v>
      </c>
      <c r="C118" s="5" t="s">
        <v>2</v>
      </c>
      <c r="D118" s="19"/>
      <c r="O118" s="2">
        <f t="shared" si="51"/>
        <v>0</v>
      </c>
      <c r="AO118" s="2">
        <f>Q118+S118+U118+W118+Y118+AA118+AC118+AE118+AG118+AI118+AK118+AM118</f>
        <v>0</v>
      </c>
      <c r="AP118" s="2">
        <f>R118+T118+V118+X118+Z118+AB118+AD118+AF118+AH118+AJ118+AL118+AN118</f>
        <v>0</v>
      </c>
      <c r="AS118" s="2">
        <f t="shared" si="53"/>
        <v>0</v>
      </c>
      <c r="BC118" s="70">
        <f t="shared" si="52"/>
        <v>0</v>
      </c>
      <c r="BD118" s="70">
        <f t="shared" si="52"/>
        <v>0</v>
      </c>
      <c r="BK118" s="26">
        <f t="shared" si="59"/>
        <v>0</v>
      </c>
      <c r="BL118" s="26">
        <f t="shared" si="59"/>
        <v>0</v>
      </c>
      <c r="BN118" s="29">
        <f t="shared" si="45"/>
        <v>0</v>
      </c>
    </row>
    <row r="119" spans="2:66" ht="12.75">
      <c r="B119" s="40" t="s">
        <v>180</v>
      </c>
      <c r="C119" s="5" t="s">
        <v>2</v>
      </c>
      <c r="D119" s="19"/>
      <c r="O119" s="2">
        <f t="shared" si="51"/>
        <v>0</v>
      </c>
      <c r="AO119" s="2">
        <f t="shared" si="58"/>
        <v>0</v>
      </c>
      <c r="AP119" s="2">
        <f t="shared" si="58"/>
        <v>0</v>
      </c>
      <c r="AS119" s="2">
        <f t="shared" si="53"/>
        <v>0</v>
      </c>
      <c r="BC119" s="70">
        <f t="shared" si="52"/>
        <v>0</v>
      </c>
      <c r="BD119" s="70">
        <f t="shared" si="52"/>
        <v>0</v>
      </c>
      <c r="BK119" s="26">
        <f t="shared" si="59"/>
        <v>0</v>
      </c>
      <c r="BL119" s="26">
        <f t="shared" si="59"/>
        <v>0</v>
      </c>
      <c r="BN119" s="29">
        <f t="shared" si="45"/>
        <v>0</v>
      </c>
    </row>
    <row r="120" spans="2:66" ht="12.75">
      <c r="B120" s="40" t="s">
        <v>451</v>
      </c>
      <c r="C120" s="5" t="s">
        <v>2</v>
      </c>
      <c r="D120" s="19"/>
      <c r="O120" s="2">
        <f t="shared" si="51"/>
        <v>0</v>
      </c>
      <c r="AO120" s="2">
        <f t="shared" si="58"/>
        <v>0</v>
      </c>
      <c r="AP120" s="2">
        <f t="shared" si="58"/>
        <v>0</v>
      </c>
      <c r="AS120" s="2">
        <f t="shared" si="53"/>
        <v>0</v>
      </c>
      <c r="BC120" s="70">
        <f t="shared" si="52"/>
        <v>0</v>
      </c>
      <c r="BD120" s="70">
        <f t="shared" si="52"/>
        <v>0</v>
      </c>
      <c r="BK120" s="26">
        <f t="shared" si="59"/>
        <v>0</v>
      </c>
      <c r="BL120" s="26">
        <f t="shared" si="59"/>
        <v>0</v>
      </c>
      <c r="BN120" s="29">
        <f t="shared" si="45"/>
        <v>0</v>
      </c>
    </row>
    <row r="121" spans="2:66" ht="12.75">
      <c r="B121" s="40" t="s">
        <v>452</v>
      </c>
      <c r="C121" s="5" t="s">
        <v>2</v>
      </c>
      <c r="D121" s="19"/>
      <c r="O121" s="2">
        <f t="shared" si="51"/>
        <v>0</v>
      </c>
      <c r="AO121" s="2">
        <f t="shared" si="58"/>
        <v>0</v>
      </c>
      <c r="AP121" s="2">
        <f t="shared" si="58"/>
        <v>0</v>
      </c>
      <c r="AS121" s="2">
        <f t="shared" si="53"/>
        <v>0</v>
      </c>
      <c r="BC121" s="70">
        <f t="shared" si="52"/>
        <v>0</v>
      </c>
      <c r="BD121" s="70">
        <f t="shared" si="52"/>
        <v>0</v>
      </c>
      <c r="BK121" s="26">
        <f t="shared" si="59"/>
        <v>0</v>
      </c>
      <c r="BL121" s="26">
        <f t="shared" si="59"/>
        <v>0</v>
      </c>
      <c r="BN121" s="29">
        <f t="shared" si="45"/>
        <v>0</v>
      </c>
    </row>
    <row r="122" spans="2:66" ht="12.75">
      <c r="B122" s="40" t="s">
        <v>152</v>
      </c>
      <c r="C122" s="5" t="s">
        <v>2</v>
      </c>
      <c r="D122" s="19"/>
      <c r="O122" s="2">
        <f t="shared" si="51"/>
        <v>0</v>
      </c>
      <c r="AO122" s="2">
        <f t="shared" si="58"/>
        <v>0</v>
      </c>
      <c r="AP122" s="2">
        <f t="shared" si="58"/>
        <v>0</v>
      </c>
      <c r="AS122" s="2">
        <f t="shared" si="53"/>
        <v>0</v>
      </c>
      <c r="BC122" s="70">
        <f t="shared" si="52"/>
        <v>0</v>
      </c>
      <c r="BD122" s="70">
        <f t="shared" si="52"/>
        <v>0</v>
      </c>
      <c r="BK122" s="26">
        <f t="shared" si="59"/>
        <v>0</v>
      </c>
      <c r="BL122" s="26">
        <f t="shared" si="59"/>
        <v>0</v>
      </c>
      <c r="BN122" s="29">
        <f t="shared" si="45"/>
        <v>0</v>
      </c>
    </row>
    <row r="123" spans="2:66" ht="12.75">
      <c r="B123" s="40" t="s">
        <v>453</v>
      </c>
      <c r="C123" s="5" t="s">
        <v>2</v>
      </c>
      <c r="D123" s="19"/>
      <c r="O123" s="2">
        <f t="shared" si="51"/>
        <v>0</v>
      </c>
      <c r="AO123" s="2">
        <f t="shared" si="58"/>
        <v>0</v>
      </c>
      <c r="AP123" s="2">
        <f t="shared" si="58"/>
        <v>0</v>
      </c>
      <c r="AS123" s="2">
        <f t="shared" si="53"/>
        <v>0</v>
      </c>
      <c r="BC123" s="70">
        <f t="shared" si="52"/>
        <v>0</v>
      </c>
      <c r="BD123" s="70">
        <f t="shared" si="52"/>
        <v>0</v>
      </c>
      <c r="BK123" s="26">
        <f t="shared" si="59"/>
        <v>0</v>
      </c>
      <c r="BL123" s="26">
        <f t="shared" si="59"/>
        <v>0</v>
      </c>
      <c r="BN123" s="29">
        <f t="shared" si="45"/>
        <v>0</v>
      </c>
    </row>
    <row r="124" spans="2:66" ht="12.75">
      <c r="B124" s="40" t="s">
        <v>203</v>
      </c>
      <c r="C124" s="5" t="s">
        <v>2</v>
      </c>
      <c r="D124" s="19"/>
      <c r="O124" s="2">
        <f t="shared" si="51"/>
        <v>0</v>
      </c>
      <c r="AO124" s="2">
        <f t="shared" si="58"/>
        <v>0</v>
      </c>
      <c r="AP124" s="2">
        <f t="shared" si="58"/>
        <v>0</v>
      </c>
      <c r="AS124" s="2">
        <f t="shared" si="53"/>
        <v>0</v>
      </c>
      <c r="BC124" s="70">
        <f t="shared" si="52"/>
        <v>0</v>
      </c>
      <c r="BD124" s="70">
        <f t="shared" si="52"/>
        <v>0</v>
      </c>
      <c r="BK124" s="26">
        <f t="shared" si="59"/>
        <v>0</v>
      </c>
      <c r="BL124" s="26">
        <f t="shared" si="59"/>
        <v>0</v>
      </c>
      <c r="BN124" s="29">
        <f t="shared" si="45"/>
        <v>0</v>
      </c>
    </row>
    <row r="125" spans="2:66" ht="12.75">
      <c r="B125" s="40" t="s">
        <v>152</v>
      </c>
      <c r="C125" s="5" t="s">
        <v>2</v>
      </c>
      <c r="D125" s="19"/>
      <c r="O125" s="2">
        <f t="shared" si="51"/>
        <v>0</v>
      </c>
      <c r="AO125" s="2">
        <f t="shared" si="58"/>
        <v>0</v>
      </c>
      <c r="AP125" s="2">
        <f t="shared" si="58"/>
        <v>0</v>
      </c>
      <c r="AS125" s="2">
        <f t="shared" si="53"/>
        <v>0</v>
      </c>
      <c r="BC125" s="70">
        <f t="shared" si="52"/>
        <v>0</v>
      </c>
      <c r="BD125" s="70">
        <f t="shared" si="52"/>
        <v>0</v>
      </c>
      <c r="BK125" s="26">
        <f t="shared" si="59"/>
        <v>0</v>
      </c>
      <c r="BL125" s="26">
        <f t="shared" si="59"/>
        <v>0</v>
      </c>
      <c r="BN125" s="29">
        <f t="shared" si="45"/>
        <v>0</v>
      </c>
    </row>
    <row r="126" spans="2:66" ht="12.75">
      <c r="B126" s="40" t="s">
        <v>129</v>
      </c>
      <c r="C126" s="5" t="s">
        <v>2</v>
      </c>
      <c r="O126" s="2">
        <f t="shared" si="51"/>
        <v>0</v>
      </c>
      <c r="AO126" s="2">
        <f t="shared" si="58"/>
        <v>0</v>
      </c>
      <c r="AP126" s="2">
        <f t="shared" si="58"/>
        <v>0</v>
      </c>
      <c r="AS126" s="2">
        <f t="shared" si="53"/>
        <v>0</v>
      </c>
      <c r="BC126" s="70">
        <f t="shared" si="52"/>
        <v>0</v>
      </c>
      <c r="BD126" s="70">
        <f t="shared" si="52"/>
        <v>0</v>
      </c>
      <c r="BK126" s="26">
        <f t="shared" si="59"/>
        <v>0</v>
      </c>
      <c r="BL126" s="26">
        <f t="shared" si="59"/>
        <v>0</v>
      </c>
      <c r="BN126" s="29">
        <f t="shared" si="45"/>
        <v>0</v>
      </c>
    </row>
    <row r="127" spans="2:66" ht="12.75">
      <c r="B127" s="40" t="s">
        <v>37</v>
      </c>
      <c r="C127" s="5" t="s">
        <v>2</v>
      </c>
      <c r="O127" s="2">
        <f t="shared" si="51"/>
        <v>0</v>
      </c>
      <c r="AO127" s="2">
        <f aca="true" t="shared" si="60" ref="AO127:AP143">Q127+S127+U127+W127+Y127+AA127+AC127+AE127+AG127+AI127+AK127+AM127</f>
        <v>0</v>
      </c>
      <c r="AP127" s="2">
        <f t="shared" si="60"/>
        <v>0</v>
      </c>
      <c r="AS127" s="2">
        <f t="shared" si="53"/>
        <v>0</v>
      </c>
      <c r="BC127" s="70">
        <f t="shared" si="52"/>
        <v>0</v>
      </c>
      <c r="BD127" s="70">
        <f t="shared" si="52"/>
        <v>0</v>
      </c>
      <c r="BK127" s="26">
        <f t="shared" si="59"/>
        <v>0</v>
      </c>
      <c r="BL127" s="26">
        <f t="shared" si="59"/>
        <v>0</v>
      </c>
      <c r="BN127" s="29">
        <f t="shared" si="45"/>
        <v>0</v>
      </c>
    </row>
    <row r="128" spans="2:66" ht="12.75">
      <c r="B128" s="40" t="s">
        <v>182</v>
      </c>
      <c r="C128" s="5" t="s">
        <v>2</v>
      </c>
      <c r="D128">
        <f>1-1</f>
        <v>0</v>
      </c>
      <c r="H128">
        <v>1400</v>
      </c>
      <c r="J128">
        <f>-1275-125</f>
        <v>-1400</v>
      </c>
      <c r="O128" s="2">
        <f t="shared" si="51"/>
        <v>0</v>
      </c>
      <c r="AO128" s="2">
        <f t="shared" si="60"/>
        <v>0</v>
      </c>
      <c r="AP128" s="2">
        <f t="shared" si="60"/>
        <v>0</v>
      </c>
      <c r="AS128" s="2">
        <f t="shared" si="53"/>
        <v>0</v>
      </c>
      <c r="BC128" s="70">
        <f t="shared" si="52"/>
        <v>0</v>
      </c>
      <c r="BD128" s="70">
        <f t="shared" si="52"/>
        <v>0</v>
      </c>
      <c r="BK128" s="26">
        <f t="shared" si="59"/>
        <v>0</v>
      </c>
      <c r="BL128" s="26">
        <f t="shared" si="59"/>
        <v>0</v>
      </c>
      <c r="BN128" s="29">
        <f t="shared" si="45"/>
        <v>0</v>
      </c>
    </row>
    <row r="129" spans="2:66" ht="12.75">
      <c r="B129" s="40" t="s">
        <v>254</v>
      </c>
      <c r="C129" s="5" t="s">
        <v>2</v>
      </c>
      <c r="O129" s="2">
        <f t="shared" si="51"/>
        <v>0</v>
      </c>
      <c r="AO129" s="2">
        <f t="shared" si="60"/>
        <v>0</v>
      </c>
      <c r="AP129" s="2">
        <f t="shared" si="60"/>
        <v>0</v>
      </c>
      <c r="AS129" s="2">
        <f t="shared" si="53"/>
        <v>0</v>
      </c>
      <c r="BC129" s="70">
        <f t="shared" si="52"/>
        <v>0</v>
      </c>
      <c r="BD129" s="70">
        <f t="shared" si="52"/>
        <v>0</v>
      </c>
      <c r="BK129" s="26">
        <f t="shared" si="59"/>
        <v>0</v>
      </c>
      <c r="BL129" s="26">
        <f t="shared" si="59"/>
        <v>0</v>
      </c>
      <c r="BN129" s="29">
        <f t="shared" si="45"/>
        <v>0</v>
      </c>
    </row>
    <row r="130" spans="2:66" ht="12.75">
      <c r="B130" s="40" t="s">
        <v>253</v>
      </c>
      <c r="C130" s="5" t="s">
        <v>2</v>
      </c>
      <c r="O130" s="2">
        <f t="shared" si="51"/>
        <v>0</v>
      </c>
      <c r="AO130" s="2">
        <f t="shared" si="60"/>
        <v>0</v>
      </c>
      <c r="AP130" s="2">
        <f t="shared" si="60"/>
        <v>0</v>
      </c>
      <c r="AS130" s="2">
        <f t="shared" si="53"/>
        <v>0</v>
      </c>
      <c r="BC130" s="70">
        <f t="shared" si="52"/>
        <v>0</v>
      </c>
      <c r="BD130" s="70">
        <f t="shared" si="52"/>
        <v>0</v>
      </c>
      <c r="BK130" s="26">
        <f t="shared" si="59"/>
        <v>0</v>
      </c>
      <c r="BL130" s="26">
        <f t="shared" si="59"/>
        <v>0</v>
      </c>
      <c r="BN130" s="29">
        <f t="shared" si="45"/>
        <v>0</v>
      </c>
    </row>
    <row r="131" spans="2:66" ht="12.75">
      <c r="B131" s="40" t="s">
        <v>262</v>
      </c>
      <c r="C131" s="5" t="s">
        <v>2</v>
      </c>
      <c r="O131" s="2">
        <f t="shared" si="51"/>
        <v>0</v>
      </c>
      <c r="AO131" s="2">
        <f t="shared" si="60"/>
        <v>0</v>
      </c>
      <c r="AP131" s="2">
        <f t="shared" si="60"/>
        <v>0</v>
      </c>
      <c r="AS131" s="2">
        <f t="shared" si="53"/>
        <v>0</v>
      </c>
      <c r="BC131" s="70">
        <f t="shared" si="52"/>
        <v>0</v>
      </c>
      <c r="BD131" s="70">
        <f t="shared" si="52"/>
        <v>0</v>
      </c>
      <c r="BK131" s="26">
        <f t="shared" si="59"/>
        <v>0</v>
      </c>
      <c r="BL131" s="26">
        <f t="shared" si="59"/>
        <v>0</v>
      </c>
      <c r="BN131" s="29">
        <f t="shared" si="45"/>
        <v>0</v>
      </c>
    </row>
    <row r="132" spans="2:66" ht="12.75">
      <c r="B132" s="40" t="s">
        <v>151</v>
      </c>
      <c r="C132" s="5" t="s">
        <v>2</v>
      </c>
      <c r="O132" s="2">
        <f t="shared" si="51"/>
        <v>0</v>
      </c>
      <c r="AO132" s="2">
        <f t="shared" si="60"/>
        <v>0</v>
      </c>
      <c r="AP132" s="2">
        <f t="shared" si="60"/>
        <v>0</v>
      </c>
      <c r="AS132" s="2">
        <f t="shared" si="53"/>
        <v>0</v>
      </c>
      <c r="BC132" s="70">
        <f t="shared" si="52"/>
        <v>0</v>
      </c>
      <c r="BD132" s="70">
        <f t="shared" si="52"/>
        <v>0</v>
      </c>
      <c r="BK132" s="26">
        <f t="shared" si="59"/>
        <v>0</v>
      </c>
      <c r="BL132" s="26">
        <f t="shared" si="59"/>
        <v>0</v>
      </c>
      <c r="BN132" s="29">
        <f t="shared" si="45"/>
        <v>0</v>
      </c>
    </row>
    <row r="133" spans="2:66" ht="12.75">
      <c r="B133" s="40" t="s">
        <v>183</v>
      </c>
      <c r="C133" s="5" t="s">
        <v>2</v>
      </c>
      <c r="D133" s="38">
        <v>8</v>
      </c>
      <c r="H133">
        <f>D133*100</f>
        <v>800</v>
      </c>
      <c r="O133" s="2">
        <f t="shared" si="51"/>
        <v>800</v>
      </c>
      <c r="AO133" s="2">
        <f t="shared" si="60"/>
        <v>0</v>
      </c>
      <c r="AP133" s="2">
        <f t="shared" si="60"/>
        <v>0</v>
      </c>
      <c r="AS133" s="2">
        <f t="shared" si="53"/>
        <v>800</v>
      </c>
      <c r="BC133" s="70">
        <f t="shared" si="52"/>
        <v>0</v>
      </c>
      <c r="BD133" s="70">
        <f t="shared" si="52"/>
        <v>0</v>
      </c>
      <c r="BK133" s="26">
        <f t="shared" si="59"/>
        <v>0</v>
      </c>
      <c r="BL133" s="26">
        <f t="shared" si="59"/>
        <v>0</v>
      </c>
      <c r="BN133" s="29">
        <f t="shared" si="45"/>
        <v>0</v>
      </c>
    </row>
    <row r="134" spans="2:66" ht="12.75">
      <c r="B134" s="40" t="s">
        <v>201</v>
      </c>
      <c r="C134" s="5" t="s">
        <v>2</v>
      </c>
      <c r="O134" s="2">
        <f t="shared" si="51"/>
        <v>0</v>
      </c>
      <c r="AO134" s="2">
        <f t="shared" si="60"/>
        <v>0</v>
      </c>
      <c r="AP134" s="2">
        <f t="shared" si="60"/>
        <v>0</v>
      </c>
      <c r="AS134" s="2">
        <f t="shared" si="53"/>
        <v>0</v>
      </c>
      <c r="BC134" s="70">
        <f t="shared" si="52"/>
        <v>0</v>
      </c>
      <c r="BD134" s="70">
        <f t="shared" si="52"/>
        <v>0</v>
      </c>
      <c r="BK134" s="26">
        <f t="shared" si="59"/>
        <v>0</v>
      </c>
      <c r="BL134" s="26">
        <f t="shared" si="59"/>
        <v>0</v>
      </c>
      <c r="BN134" s="29">
        <f t="shared" si="45"/>
        <v>0</v>
      </c>
    </row>
    <row r="135" spans="2:66" ht="12.75">
      <c r="B135" s="40" t="s">
        <v>320</v>
      </c>
      <c r="C135" s="5" t="s">
        <v>2</v>
      </c>
      <c r="O135" s="2">
        <f t="shared" si="51"/>
        <v>0</v>
      </c>
      <c r="AO135" s="2">
        <f t="shared" si="60"/>
        <v>0</v>
      </c>
      <c r="AP135" s="2">
        <f t="shared" si="60"/>
        <v>0</v>
      </c>
      <c r="AS135" s="2">
        <f t="shared" si="53"/>
        <v>0</v>
      </c>
      <c r="BC135" s="70">
        <f t="shared" si="52"/>
        <v>0</v>
      </c>
      <c r="BD135" s="70">
        <f t="shared" si="52"/>
        <v>0</v>
      </c>
      <c r="BK135" s="26">
        <f t="shared" si="59"/>
        <v>0</v>
      </c>
      <c r="BL135" s="26">
        <f t="shared" si="59"/>
        <v>0</v>
      </c>
      <c r="BN135" s="29">
        <f t="shared" si="45"/>
        <v>0</v>
      </c>
    </row>
    <row r="136" spans="2:66" ht="12.75">
      <c r="B136" s="40" t="s">
        <v>438</v>
      </c>
      <c r="C136" s="5" t="s">
        <v>2</v>
      </c>
      <c r="O136" s="2">
        <f t="shared" si="51"/>
        <v>0</v>
      </c>
      <c r="AO136" s="2">
        <f t="shared" si="60"/>
        <v>0</v>
      </c>
      <c r="AP136" s="2">
        <f t="shared" si="60"/>
        <v>0</v>
      </c>
      <c r="AS136" s="2">
        <f t="shared" si="53"/>
        <v>0</v>
      </c>
      <c r="BC136" s="70">
        <f t="shared" si="52"/>
        <v>0</v>
      </c>
      <c r="BD136" s="70">
        <f t="shared" si="52"/>
        <v>0</v>
      </c>
      <c r="BK136" s="26">
        <f t="shared" si="59"/>
        <v>0</v>
      </c>
      <c r="BL136" s="26">
        <f t="shared" si="59"/>
        <v>0</v>
      </c>
      <c r="BN136" s="29">
        <f t="shared" si="45"/>
        <v>0</v>
      </c>
    </row>
    <row r="137" spans="2:66" ht="12.75">
      <c r="B137" s="40" t="s">
        <v>228</v>
      </c>
      <c r="C137" s="5" t="s">
        <v>2</v>
      </c>
      <c r="O137" s="2">
        <f t="shared" si="51"/>
        <v>0</v>
      </c>
      <c r="AO137" s="2">
        <f t="shared" si="60"/>
        <v>0</v>
      </c>
      <c r="AP137" s="2">
        <f t="shared" si="60"/>
        <v>0</v>
      </c>
      <c r="AS137" s="2">
        <f t="shared" si="53"/>
        <v>0</v>
      </c>
      <c r="BC137" s="70">
        <f t="shared" si="52"/>
        <v>0</v>
      </c>
      <c r="BD137" s="70">
        <f t="shared" si="52"/>
        <v>0</v>
      </c>
      <c r="BK137" s="26">
        <f t="shared" si="59"/>
        <v>0</v>
      </c>
      <c r="BL137" s="26">
        <f t="shared" si="59"/>
        <v>0</v>
      </c>
      <c r="BN137" s="29">
        <f t="shared" si="45"/>
        <v>0</v>
      </c>
    </row>
    <row r="138" spans="2:66" ht="12.75">
      <c r="B138" s="40" t="s">
        <v>214</v>
      </c>
      <c r="C138" s="5" t="s">
        <v>2</v>
      </c>
      <c r="O138" s="2">
        <f t="shared" si="51"/>
        <v>0</v>
      </c>
      <c r="AO138" s="2">
        <f t="shared" si="60"/>
        <v>0</v>
      </c>
      <c r="AP138" s="2">
        <f t="shared" si="60"/>
        <v>0</v>
      </c>
      <c r="AS138" s="2">
        <f t="shared" si="53"/>
        <v>0</v>
      </c>
      <c r="BC138" s="70">
        <f t="shared" si="52"/>
        <v>0</v>
      </c>
      <c r="BD138" s="70">
        <f t="shared" si="52"/>
        <v>0</v>
      </c>
      <c r="BK138" s="26">
        <f t="shared" si="59"/>
        <v>0</v>
      </c>
      <c r="BL138" s="26">
        <f t="shared" si="59"/>
        <v>0</v>
      </c>
      <c r="BN138" s="29">
        <f t="shared" si="45"/>
        <v>0</v>
      </c>
    </row>
    <row r="139" spans="2:66" ht="25.5">
      <c r="B139" s="40" t="s">
        <v>227</v>
      </c>
      <c r="C139" s="5" t="s">
        <v>2</v>
      </c>
      <c r="O139" s="2">
        <f t="shared" si="51"/>
        <v>0</v>
      </c>
      <c r="AO139" s="2">
        <f t="shared" si="60"/>
        <v>0</v>
      </c>
      <c r="AP139" s="2">
        <f t="shared" si="60"/>
        <v>0</v>
      </c>
      <c r="AS139" s="2">
        <f t="shared" si="53"/>
        <v>0</v>
      </c>
      <c r="BC139" s="70">
        <f t="shared" si="52"/>
        <v>0</v>
      </c>
      <c r="BD139" s="70">
        <f t="shared" si="52"/>
        <v>0</v>
      </c>
      <c r="BK139" s="26">
        <f t="shared" si="59"/>
        <v>0</v>
      </c>
      <c r="BL139" s="26">
        <f t="shared" si="59"/>
        <v>0</v>
      </c>
      <c r="BN139" s="29">
        <f t="shared" si="45"/>
        <v>0</v>
      </c>
    </row>
    <row r="140" spans="2:66" ht="12.75">
      <c r="B140" s="40" t="s">
        <v>248</v>
      </c>
      <c r="C140" s="5" t="s">
        <v>2</v>
      </c>
      <c r="O140" s="2">
        <f t="shared" si="51"/>
        <v>0</v>
      </c>
      <c r="AO140" s="2">
        <f t="shared" si="60"/>
        <v>0</v>
      </c>
      <c r="AP140" s="2">
        <f t="shared" si="60"/>
        <v>0</v>
      </c>
      <c r="AS140" s="2">
        <f t="shared" si="53"/>
        <v>0</v>
      </c>
      <c r="BC140" s="70">
        <f t="shared" si="52"/>
        <v>0</v>
      </c>
      <c r="BD140" s="70">
        <f t="shared" si="52"/>
        <v>0</v>
      </c>
      <c r="BK140" s="26">
        <f t="shared" si="59"/>
        <v>0</v>
      </c>
      <c r="BL140" s="26">
        <f t="shared" si="59"/>
        <v>0</v>
      </c>
      <c r="BN140" s="29">
        <f t="shared" si="45"/>
        <v>0</v>
      </c>
    </row>
    <row r="141" spans="2:66" ht="12.75">
      <c r="B141" s="40" t="s">
        <v>237</v>
      </c>
      <c r="C141" s="5" t="s">
        <v>2</v>
      </c>
      <c r="O141" s="2">
        <f t="shared" si="51"/>
        <v>0</v>
      </c>
      <c r="AO141" s="2">
        <f t="shared" si="60"/>
        <v>0</v>
      </c>
      <c r="AP141" s="2">
        <f t="shared" si="60"/>
        <v>0</v>
      </c>
      <c r="AS141" s="2">
        <f t="shared" si="53"/>
        <v>0</v>
      </c>
      <c r="BC141" s="70">
        <f t="shared" si="52"/>
        <v>0</v>
      </c>
      <c r="BD141" s="70">
        <f t="shared" si="52"/>
        <v>0</v>
      </c>
      <c r="BK141" s="26">
        <f t="shared" si="59"/>
        <v>0</v>
      </c>
      <c r="BL141" s="26">
        <f t="shared" si="59"/>
        <v>0</v>
      </c>
      <c r="BN141" s="29">
        <f t="shared" si="45"/>
        <v>0</v>
      </c>
    </row>
    <row r="142" spans="2:66" ht="12.75">
      <c r="B142" s="40" t="s">
        <v>342</v>
      </c>
      <c r="C142" s="5" t="s">
        <v>2</v>
      </c>
      <c r="J142">
        <v>1275</v>
      </c>
      <c r="O142" s="2">
        <f t="shared" si="51"/>
        <v>1275</v>
      </c>
      <c r="S142">
        <f>2+5+1</f>
        <v>8</v>
      </c>
      <c r="T142">
        <f>900+290+85</f>
        <v>1275</v>
      </c>
      <c r="AO142" s="2">
        <f t="shared" si="60"/>
        <v>8</v>
      </c>
      <c r="AP142" s="2">
        <f t="shared" si="60"/>
        <v>1275</v>
      </c>
      <c r="AS142" s="2">
        <f t="shared" si="53"/>
        <v>0</v>
      </c>
      <c r="BC142" s="70">
        <f t="shared" si="52"/>
        <v>8</v>
      </c>
      <c r="BD142" s="70">
        <f t="shared" si="52"/>
        <v>1275</v>
      </c>
      <c r="BK142" s="26">
        <f t="shared" si="59"/>
        <v>8</v>
      </c>
      <c r="BL142" s="26">
        <f t="shared" si="59"/>
        <v>1275</v>
      </c>
      <c r="BN142" s="29">
        <f t="shared" si="45"/>
        <v>0</v>
      </c>
    </row>
    <row r="143" spans="2:66" ht="12.75">
      <c r="B143" s="40" t="s">
        <v>345</v>
      </c>
      <c r="C143" s="5" t="s">
        <v>2</v>
      </c>
      <c r="O143" s="2">
        <f t="shared" si="51"/>
        <v>0</v>
      </c>
      <c r="AO143" s="2">
        <f t="shared" si="60"/>
        <v>0</v>
      </c>
      <c r="AP143" s="2">
        <f t="shared" si="60"/>
        <v>0</v>
      </c>
      <c r="AS143" s="2">
        <f t="shared" si="53"/>
        <v>0</v>
      </c>
      <c r="BC143" s="70">
        <f t="shared" si="52"/>
        <v>0</v>
      </c>
      <c r="BD143" s="70">
        <f t="shared" si="52"/>
        <v>0</v>
      </c>
      <c r="BK143" s="26">
        <f t="shared" si="59"/>
        <v>0</v>
      </c>
      <c r="BL143" s="26">
        <f t="shared" si="59"/>
        <v>0</v>
      </c>
      <c r="BN143" s="29">
        <f t="shared" si="45"/>
        <v>0</v>
      </c>
    </row>
    <row r="144" spans="1:68" ht="14.25">
      <c r="A144" s="10">
        <v>10</v>
      </c>
      <c r="B144" s="61" t="s">
        <v>13</v>
      </c>
      <c r="C144" s="8"/>
      <c r="D144" s="7"/>
      <c r="E144" s="7">
        <f aca="true" t="shared" si="61" ref="E144:N144">SUM(E145:E192)</f>
        <v>0</v>
      </c>
      <c r="F144" s="7">
        <f t="shared" si="61"/>
        <v>0</v>
      </c>
      <c r="G144" s="7">
        <f t="shared" si="61"/>
        <v>0</v>
      </c>
      <c r="H144" s="7">
        <f t="shared" si="61"/>
        <v>2550</v>
      </c>
      <c r="I144" s="7">
        <f t="shared" si="61"/>
        <v>0</v>
      </c>
      <c r="J144" s="7">
        <f t="shared" si="61"/>
        <v>67955</v>
      </c>
      <c r="K144" s="7">
        <f t="shared" si="61"/>
        <v>0</v>
      </c>
      <c r="L144" s="7">
        <f t="shared" si="61"/>
        <v>0</v>
      </c>
      <c r="M144" s="7">
        <f t="shared" si="61"/>
        <v>0</v>
      </c>
      <c r="N144" s="7">
        <f t="shared" si="61"/>
        <v>0</v>
      </c>
      <c r="O144" s="9"/>
      <c r="P144" s="28"/>
      <c r="Q144" s="7">
        <f aca="true" t="shared" si="62" ref="Q144:AN144">SUM(Q145:Q192)</f>
        <v>0</v>
      </c>
      <c r="R144" s="7">
        <f t="shared" si="62"/>
        <v>0</v>
      </c>
      <c r="S144" s="7">
        <f t="shared" si="62"/>
        <v>0</v>
      </c>
      <c r="T144" s="7">
        <f t="shared" si="62"/>
        <v>0</v>
      </c>
      <c r="U144" s="7">
        <f t="shared" si="62"/>
        <v>0</v>
      </c>
      <c r="V144" s="7">
        <f t="shared" si="62"/>
        <v>0</v>
      </c>
      <c r="W144" s="7">
        <f t="shared" si="62"/>
        <v>84</v>
      </c>
      <c r="X144" s="7">
        <f t="shared" si="62"/>
        <v>1150</v>
      </c>
      <c r="Y144" s="7">
        <f t="shared" si="62"/>
        <v>1</v>
      </c>
      <c r="Z144" s="7">
        <f t="shared" si="62"/>
        <v>1400</v>
      </c>
      <c r="AA144" s="7">
        <f t="shared" si="62"/>
        <v>2</v>
      </c>
      <c r="AB144" s="7">
        <f t="shared" si="62"/>
        <v>155</v>
      </c>
      <c r="AC144" s="7">
        <f t="shared" si="62"/>
        <v>463</v>
      </c>
      <c r="AD144" s="7">
        <f t="shared" si="62"/>
        <v>53900</v>
      </c>
      <c r="AE144" s="7">
        <f t="shared" si="62"/>
        <v>0</v>
      </c>
      <c r="AF144" s="7">
        <f t="shared" si="62"/>
        <v>0</v>
      </c>
      <c r="AG144" s="7">
        <f t="shared" si="62"/>
        <v>0</v>
      </c>
      <c r="AH144" s="7">
        <f t="shared" si="62"/>
        <v>0</v>
      </c>
      <c r="AI144" s="7">
        <f t="shared" si="62"/>
        <v>0</v>
      </c>
      <c r="AJ144" s="7">
        <f t="shared" si="62"/>
        <v>0</v>
      </c>
      <c r="AK144" s="7">
        <f t="shared" si="62"/>
        <v>0</v>
      </c>
      <c r="AL144" s="7">
        <f t="shared" si="62"/>
        <v>0</v>
      </c>
      <c r="AM144" s="7">
        <f t="shared" si="62"/>
        <v>0</v>
      </c>
      <c r="AN144" s="7">
        <f t="shared" si="62"/>
        <v>0</v>
      </c>
      <c r="AO144" s="7">
        <f>SUM(AO145:AO192)</f>
        <v>550</v>
      </c>
      <c r="AP144" s="7">
        <f>SUM(AP145:AP192)</f>
        <v>56605</v>
      </c>
      <c r="AQ144" s="9"/>
      <c r="AR144" s="9"/>
      <c r="AS144" s="7">
        <f>SUM(AS145:AS192)</f>
        <v>13900</v>
      </c>
      <c r="AT144" s="9"/>
      <c r="AU144" s="9"/>
      <c r="AV144" s="9"/>
      <c r="AW144" s="8">
        <f aca="true" t="shared" si="63" ref="AW144:BD144">SUM(AW145:AW192)</f>
        <v>0</v>
      </c>
      <c r="AX144" s="8">
        <f t="shared" si="63"/>
        <v>0</v>
      </c>
      <c r="AY144" s="8">
        <f t="shared" si="63"/>
        <v>0</v>
      </c>
      <c r="AZ144" s="8">
        <f t="shared" si="63"/>
        <v>0</v>
      </c>
      <c r="BA144" s="8">
        <f t="shared" si="63"/>
        <v>0</v>
      </c>
      <c r="BB144" s="8">
        <f t="shared" si="63"/>
        <v>0</v>
      </c>
      <c r="BC144" s="8">
        <f t="shared" si="63"/>
        <v>550</v>
      </c>
      <c r="BD144" s="8">
        <f t="shared" si="63"/>
        <v>56605</v>
      </c>
      <c r="BE144" s="8">
        <f aca="true" t="shared" si="64" ref="BE144:BL144">SUM(BE145:BE192)</f>
        <v>0</v>
      </c>
      <c r="BF144" s="8">
        <f t="shared" si="64"/>
        <v>0</v>
      </c>
      <c r="BG144" s="8">
        <f t="shared" si="64"/>
        <v>0</v>
      </c>
      <c r="BH144" s="8">
        <f t="shared" si="64"/>
        <v>0</v>
      </c>
      <c r="BI144" s="8">
        <f t="shared" si="64"/>
        <v>0</v>
      </c>
      <c r="BJ144" s="8">
        <f t="shared" si="64"/>
        <v>0</v>
      </c>
      <c r="BK144" s="8">
        <f t="shared" si="64"/>
        <v>550</v>
      </c>
      <c r="BL144" s="8">
        <f t="shared" si="64"/>
        <v>56605</v>
      </c>
      <c r="BM144" s="8"/>
      <c r="BN144" s="8">
        <f>SUM(BN145:BN192)</f>
        <v>0</v>
      </c>
      <c r="BO144" s="9"/>
      <c r="BP144" s="9"/>
    </row>
    <row r="145" spans="2:66" ht="12.75">
      <c r="B145" s="40" t="s">
        <v>368</v>
      </c>
      <c r="C145" s="5" t="s">
        <v>48</v>
      </c>
      <c r="O145" s="2">
        <f t="shared" si="51"/>
        <v>0</v>
      </c>
      <c r="AO145" s="2">
        <f aca="true" t="shared" si="65" ref="AO145:AP192">Q145+S145+U145+W145+Y145+AA145+AC145+AE145+AG145+AI145+AK145+AM145</f>
        <v>0</v>
      </c>
      <c r="AP145" s="2">
        <f t="shared" si="65"/>
        <v>0</v>
      </c>
      <c r="AS145" s="2">
        <f t="shared" si="53"/>
        <v>0</v>
      </c>
      <c r="BC145" s="70">
        <f t="shared" si="52"/>
        <v>0</v>
      </c>
      <c r="BD145" s="70">
        <f t="shared" si="52"/>
        <v>0</v>
      </c>
      <c r="BK145" s="26">
        <f aca="true" t="shared" si="66" ref="BK145:BL192">AW145+AY145+BA145+BC145+BE145+BG145+BI145</f>
        <v>0</v>
      </c>
      <c r="BL145" s="26">
        <f t="shared" si="66"/>
        <v>0</v>
      </c>
      <c r="BN145" s="29">
        <f t="shared" si="45"/>
        <v>0</v>
      </c>
    </row>
    <row r="146" spans="2:66" ht="12.75">
      <c r="B146" s="40" t="s">
        <v>51</v>
      </c>
      <c r="C146" s="5" t="s">
        <v>23</v>
      </c>
      <c r="D146" s="38">
        <v>50</v>
      </c>
      <c r="H146">
        <f>D146*15</f>
        <v>750</v>
      </c>
      <c r="O146" s="2">
        <f t="shared" si="51"/>
        <v>750</v>
      </c>
      <c r="W146">
        <f>15*5</f>
        <v>75</v>
      </c>
      <c r="X146">
        <f>750</f>
        <v>750</v>
      </c>
      <c r="AO146" s="2">
        <f t="shared" si="65"/>
        <v>75</v>
      </c>
      <c r="AP146" s="2">
        <f t="shared" si="65"/>
        <v>750</v>
      </c>
      <c r="AS146" s="2">
        <f t="shared" si="53"/>
        <v>0</v>
      </c>
      <c r="BC146" s="70">
        <f t="shared" si="52"/>
        <v>75</v>
      </c>
      <c r="BD146" s="70">
        <f t="shared" si="52"/>
        <v>750</v>
      </c>
      <c r="BK146" s="26">
        <f t="shared" si="66"/>
        <v>75</v>
      </c>
      <c r="BL146" s="26">
        <f t="shared" si="66"/>
        <v>750</v>
      </c>
      <c r="BN146" s="29">
        <f t="shared" si="45"/>
        <v>0</v>
      </c>
    </row>
    <row r="147" spans="2:68" ht="12.75">
      <c r="B147" s="60" t="s">
        <v>40</v>
      </c>
      <c r="C147" s="33" t="s">
        <v>124</v>
      </c>
      <c r="D147" s="19">
        <v>21</v>
      </c>
      <c r="E147" s="19"/>
      <c r="F147" s="19"/>
      <c r="G147" s="19"/>
      <c r="H147" s="19"/>
      <c r="I147" s="19"/>
      <c r="J147" s="19">
        <f>D147*130</f>
        <v>2730</v>
      </c>
      <c r="K147" s="19"/>
      <c r="L147" s="19"/>
      <c r="M147" s="19"/>
      <c r="N147" s="19"/>
      <c r="O147" s="26">
        <f t="shared" si="51"/>
        <v>2730</v>
      </c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>
        <v>2</v>
      </c>
      <c r="AB147" s="19">
        <v>155</v>
      </c>
      <c r="AC147" s="19">
        <v>20</v>
      </c>
      <c r="AD147" s="19">
        <v>2400</v>
      </c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26">
        <f t="shared" si="65"/>
        <v>22</v>
      </c>
      <c r="AP147" s="26">
        <f t="shared" si="65"/>
        <v>2555</v>
      </c>
      <c r="AQ147" s="19"/>
      <c r="AR147" s="19"/>
      <c r="AS147" s="26">
        <f t="shared" si="53"/>
        <v>175</v>
      </c>
      <c r="AT147" s="19"/>
      <c r="AU147" s="19"/>
      <c r="AV147" s="19"/>
      <c r="AW147" s="19"/>
      <c r="AX147" s="19"/>
      <c r="AY147" s="19"/>
      <c r="AZ147" s="19"/>
      <c r="BA147" s="19"/>
      <c r="BB147" s="19"/>
      <c r="BC147" s="70">
        <f t="shared" si="52"/>
        <v>22</v>
      </c>
      <c r="BD147" s="70">
        <f t="shared" si="52"/>
        <v>2555</v>
      </c>
      <c r="BE147" s="19"/>
      <c r="BF147" s="19"/>
      <c r="BG147" s="19"/>
      <c r="BH147" s="19"/>
      <c r="BI147" s="19"/>
      <c r="BJ147" s="19"/>
      <c r="BK147" s="26">
        <f t="shared" si="66"/>
        <v>22</v>
      </c>
      <c r="BL147" s="26">
        <f t="shared" si="66"/>
        <v>2555</v>
      </c>
      <c r="BM147" s="19"/>
      <c r="BN147" s="29">
        <f t="shared" si="45"/>
        <v>0</v>
      </c>
      <c r="BO147" s="19"/>
      <c r="BP147" s="19"/>
    </row>
    <row r="148" spans="2:66" ht="12.75">
      <c r="B148" s="40" t="s">
        <v>41</v>
      </c>
      <c r="C148" s="5" t="s">
        <v>153</v>
      </c>
      <c r="D148" s="19">
        <v>10</v>
      </c>
      <c r="J148" s="19">
        <f>D148*310+125</f>
        <v>3225</v>
      </c>
      <c r="O148" s="2">
        <f t="shared" si="51"/>
        <v>3225</v>
      </c>
      <c r="AC148">
        <v>10</v>
      </c>
      <c r="AD148">
        <v>3500</v>
      </c>
      <c r="AO148" s="2">
        <f t="shared" si="65"/>
        <v>10</v>
      </c>
      <c r="AP148" s="2">
        <f t="shared" si="65"/>
        <v>3500</v>
      </c>
      <c r="AS148" s="2">
        <f t="shared" si="53"/>
        <v>-275</v>
      </c>
      <c r="BC148" s="70">
        <f t="shared" si="52"/>
        <v>10</v>
      </c>
      <c r="BD148" s="70">
        <f t="shared" si="52"/>
        <v>3500</v>
      </c>
      <c r="BK148" s="26">
        <f t="shared" si="66"/>
        <v>10</v>
      </c>
      <c r="BL148" s="26">
        <f t="shared" si="66"/>
        <v>3500</v>
      </c>
      <c r="BN148" s="29">
        <f t="shared" si="45"/>
        <v>0</v>
      </c>
    </row>
    <row r="149" spans="2:66" ht="12.75">
      <c r="B149" s="40" t="s">
        <v>42</v>
      </c>
      <c r="C149" s="5" t="s">
        <v>23</v>
      </c>
      <c r="D149" s="38"/>
      <c r="H149">
        <f>D149*3</f>
        <v>0</v>
      </c>
      <c r="O149" s="2">
        <f t="shared" si="51"/>
        <v>0</v>
      </c>
      <c r="AO149" s="2">
        <f t="shared" si="65"/>
        <v>0</v>
      </c>
      <c r="AP149" s="2">
        <f t="shared" si="65"/>
        <v>0</v>
      </c>
      <c r="AS149" s="2">
        <f t="shared" si="53"/>
        <v>0</v>
      </c>
      <c r="BC149" s="70">
        <f t="shared" si="52"/>
        <v>0</v>
      </c>
      <c r="BD149" s="70">
        <f t="shared" si="52"/>
        <v>0</v>
      </c>
      <c r="BK149" s="26">
        <f t="shared" si="66"/>
        <v>0</v>
      </c>
      <c r="BL149" s="26">
        <f t="shared" si="66"/>
        <v>0</v>
      </c>
      <c r="BN149" s="29">
        <f aca="true" t="shared" si="67" ref="BN149:BN212">BL149-AP149</f>
        <v>0</v>
      </c>
    </row>
    <row r="150" spans="2:66" ht="12.75">
      <c r="B150" s="40" t="s">
        <v>43</v>
      </c>
      <c r="C150" s="5" t="s">
        <v>23</v>
      </c>
      <c r="D150" s="38"/>
      <c r="H150">
        <f>D150*5</f>
        <v>0</v>
      </c>
      <c r="O150" s="2">
        <f t="shared" si="51"/>
        <v>0</v>
      </c>
      <c r="AO150" s="2">
        <f t="shared" si="65"/>
        <v>0</v>
      </c>
      <c r="AP150" s="2">
        <f t="shared" si="65"/>
        <v>0</v>
      </c>
      <c r="AS150" s="2">
        <f t="shared" si="53"/>
        <v>0</v>
      </c>
      <c r="BC150" s="70">
        <f t="shared" si="52"/>
        <v>0</v>
      </c>
      <c r="BD150" s="70">
        <f t="shared" si="52"/>
        <v>0</v>
      </c>
      <c r="BK150" s="26">
        <f t="shared" si="66"/>
        <v>0</v>
      </c>
      <c r="BL150" s="26">
        <f t="shared" si="66"/>
        <v>0</v>
      </c>
      <c r="BN150" s="29">
        <f t="shared" si="67"/>
        <v>0</v>
      </c>
    </row>
    <row r="151" spans="2:66" ht="12.75">
      <c r="B151" s="40" t="s">
        <v>44</v>
      </c>
      <c r="C151" s="5" t="s">
        <v>19</v>
      </c>
      <c r="D151" s="38"/>
      <c r="H151">
        <f>D151*150</f>
        <v>0</v>
      </c>
      <c r="O151" s="2">
        <f t="shared" si="51"/>
        <v>0</v>
      </c>
      <c r="AO151" s="2">
        <f t="shared" si="65"/>
        <v>0</v>
      </c>
      <c r="AP151" s="2">
        <f t="shared" si="65"/>
        <v>0</v>
      </c>
      <c r="AS151" s="2">
        <f t="shared" si="53"/>
        <v>0</v>
      </c>
      <c r="BC151" s="70">
        <f t="shared" si="52"/>
        <v>0</v>
      </c>
      <c r="BD151" s="70">
        <f t="shared" si="52"/>
        <v>0</v>
      </c>
      <c r="BK151" s="26">
        <f t="shared" si="66"/>
        <v>0</v>
      </c>
      <c r="BL151" s="26">
        <f t="shared" si="66"/>
        <v>0</v>
      </c>
      <c r="BN151" s="29">
        <f t="shared" si="67"/>
        <v>0</v>
      </c>
    </row>
    <row r="152" spans="2:66" ht="12.75">
      <c r="B152" s="40" t="s">
        <v>263</v>
      </c>
      <c r="C152" s="5" t="s">
        <v>2</v>
      </c>
      <c r="D152" s="38">
        <v>10</v>
      </c>
      <c r="H152">
        <f>D152*40</f>
        <v>400</v>
      </c>
      <c r="O152" s="2">
        <f t="shared" si="51"/>
        <v>400</v>
      </c>
      <c r="W152">
        <f>2+4+1+1+1</f>
        <v>9</v>
      </c>
      <c r="X152">
        <f>50+200+75+35+40</f>
        <v>400</v>
      </c>
      <c r="AO152" s="2">
        <f t="shared" si="65"/>
        <v>9</v>
      </c>
      <c r="AP152" s="2">
        <f t="shared" si="65"/>
        <v>400</v>
      </c>
      <c r="AS152" s="2">
        <f t="shared" si="53"/>
        <v>0</v>
      </c>
      <c r="BC152" s="70">
        <f t="shared" si="52"/>
        <v>9</v>
      </c>
      <c r="BD152" s="70">
        <f t="shared" si="52"/>
        <v>400</v>
      </c>
      <c r="BK152" s="26">
        <f t="shared" si="66"/>
        <v>9</v>
      </c>
      <c r="BL152" s="26">
        <f t="shared" si="66"/>
        <v>400</v>
      </c>
      <c r="BN152" s="29">
        <f t="shared" si="67"/>
        <v>0</v>
      </c>
    </row>
    <row r="153" spans="2:66" ht="12.75">
      <c r="B153" s="40" t="s">
        <v>374</v>
      </c>
      <c r="C153" s="5" t="s">
        <v>23</v>
      </c>
      <c r="D153" s="38"/>
      <c r="H153">
        <f>D153*30</f>
        <v>0</v>
      </c>
      <c r="O153" s="2">
        <f t="shared" si="51"/>
        <v>0</v>
      </c>
      <c r="AO153" s="2">
        <f t="shared" si="65"/>
        <v>0</v>
      </c>
      <c r="AP153" s="2">
        <f t="shared" si="65"/>
        <v>0</v>
      </c>
      <c r="AS153" s="2">
        <f t="shared" si="53"/>
        <v>0</v>
      </c>
      <c r="BC153" s="70">
        <f t="shared" si="52"/>
        <v>0</v>
      </c>
      <c r="BD153" s="70">
        <f t="shared" si="52"/>
        <v>0</v>
      </c>
      <c r="BK153" s="26">
        <f t="shared" si="66"/>
        <v>0</v>
      </c>
      <c r="BL153" s="26">
        <f t="shared" si="66"/>
        <v>0</v>
      </c>
      <c r="BN153" s="29">
        <f t="shared" si="67"/>
        <v>0</v>
      </c>
    </row>
    <row r="154" spans="2:66" ht="12.75">
      <c r="B154" s="40" t="s">
        <v>119</v>
      </c>
      <c r="C154" s="5" t="s">
        <v>2</v>
      </c>
      <c r="O154" s="2">
        <f t="shared" si="51"/>
        <v>0</v>
      </c>
      <c r="AO154" s="2">
        <f>Q154+S154+U154+W154+Y154+AA154+AC154+AE154+AG154+AI154+AK154+AM154</f>
        <v>0</v>
      </c>
      <c r="AP154" s="2">
        <f>R154+T154+V154+X154+Z154+AB154+AD154+AF154+AH154+AJ154+AL154+AN154</f>
        <v>0</v>
      </c>
      <c r="AS154" s="2">
        <f t="shared" si="53"/>
        <v>0</v>
      </c>
      <c r="BC154" s="70">
        <f t="shared" si="52"/>
        <v>0</v>
      </c>
      <c r="BD154" s="70">
        <f t="shared" si="52"/>
        <v>0</v>
      </c>
      <c r="BK154" s="26">
        <f t="shared" si="66"/>
        <v>0</v>
      </c>
      <c r="BL154" s="26">
        <f t="shared" si="66"/>
        <v>0</v>
      </c>
      <c r="BN154" s="29">
        <f t="shared" si="67"/>
        <v>0</v>
      </c>
    </row>
    <row r="155" spans="2:66" ht="12.75">
      <c r="B155" s="40" t="s">
        <v>375</v>
      </c>
      <c r="C155" s="5" t="s">
        <v>2</v>
      </c>
      <c r="D155" s="19"/>
      <c r="O155" s="2">
        <f t="shared" si="51"/>
        <v>0</v>
      </c>
      <c r="AO155" s="2">
        <f t="shared" si="65"/>
        <v>0</v>
      </c>
      <c r="AP155" s="2">
        <f t="shared" si="65"/>
        <v>0</v>
      </c>
      <c r="AS155" s="2">
        <f t="shared" si="53"/>
        <v>0</v>
      </c>
      <c r="BC155" s="70">
        <f t="shared" si="52"/>
        <v>0</v>
      </c>
      <c r="BD155" s="70">
        <f t="shared" si="52"/>
        <v>0</v>
      </c>
      <c r="BK155" s="26">
        <f t="shared" si="66"/>
        <v>0</v>
      </c>
      <c r="BL155" s="26">
        <f t="shared" si="66"/>
        <v>0</v>
      </c>
      <c r="BN155" s="29">
        <f t="shared" si="67"/>
        <v>0</v>
      </c>
    </row>
    <row r="156" spans="2:66" ht="12.75">
      <c r="B156" s="40" t="s">
        <v>156</v>
      </c>
      <c r="C156" s="5" t="s">
        <v>23</v>
      </c>
      <c r="O156" s="2">
        <f t="shared" si="51"/>
        <v>0</v>
      </c>
      <c r="AO156" s="2">
        <f t="shared" si="65"/>
        <v>0</v>
      </c>
      <c r="AP156" s="2">
        <f t="shared" si="65"/>
        <v>0</v>
      </c>
      <c r="AS156" s="2">
        <f t="shared" si="53"/>
        <v>0</v>
      </c>
      <c r="BC156" s="70">
        <f t="shared" si="52"/>
        <v>0</v>
      </c>
      <c r="BD156" s="70">
        <f t="shared" si="52"/>
        <v>0</v>
      </c>
      <c r="BK156" s="26">
        <f t="shared" si="66"/>
        <v>0</v>
      </c>
      <c r="BL156" s="26">
        <f t="shared" si="66"/>
        <v>0</v>
      </c>
      <c r="BN156" s="29">
        <f t="shared" si="67"/>
        <v>0</v>
      </c>
    </row>
    <row r="157" spans="2:76" s="19" customFormat="1" ht="12.75">
      <c r="B157" s="40" t="s">
        <v>46</v>
      </c>
      <c r="C157" s="5" t="s">
        <v>2</v>
      </c>
      <c r="D157"/>
      <c r="E157"/>
      <c r="F157"/>
      <c r="G157"/>
      <c r="H157"/>
      <c r="I157"/>
      <c r="J157"/>
      <c r="K157"/>
      <c r="L157"/>
      <c r="M157"/>
      <c r="N157"/>
      <c r="O157" s="2">
        <f t="shared" si="51"/>
        <v>0</v>
      </c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 s="2">
        <f t="shared" si="65"/>
        <v>0</v>
      </c>
      <c r="AP157" s="2">
        <f t="shared" si="65"/>
        <v>0</v>
      </c>
      <c r="AQ157"/>
      <c r="AR157"/>
      <c r="AS157" s="2">
        <f t="shared" si="53"/>
        <v>0</v>
      </c>
      <c r="AT157"/>
      <c r="AU157"/>
      <c r="AV157"/>
      <c r="AW157"/>
      <c r="AX157"/>
      <c r="AY157"/>
      <c r="AZ157"/>
      <c r="BA157"/>
      <c r="BB157"/>
      <c r="BC157" s="70">
        <f t="shared" si="52"/>
        <v>0</v>
      </c>
      <c r="BD157" s="70">
        <f t="shared" si="52"/>
        <v>0</v>
      </c>
      <c r="BE157"/>
      <c r="BF157"/>
      <c r="BG157"/>
      <c r="BH157"/>
      <c r="BI157"/>
      <c r="BJ157"/>
      <c r="BK157" s="26">
        <f t="shared" si="66"/>
        <v>0</v>
      </c>
      <c r="BL157" s="26">
        <f t="shared" si="66"/>
        <v>0</v>
      </c>
      <c r="BM157"/>
      <c r="BN157" s="29">
        <f t="shared" si="67"/>
        <v>0</v>
      </c>
      <c r="BO157"/>
      <c r="BP157"/>
      <c r="BQ157"/>
      <c r="BR157"/>
      <c r="BS157"/>
      <c r="BT157"/>
      <c r="BU157"/>
      <c r="BV157"/>
      <c r="BW157"/>
      <c r="BX157"/>
    </row>
    <row r="158" spans="2:66" s="19" customFormat="1" ht="12.75">
      <c r="B158" s="40" t="s">
        <v>154</v>
      </c>
      <c r="C158" s="33" t="s">
        <v>2</v>
      </c>
      <c r="D158" s="19">
        <v>1</v>
      </c>
      <c r="J158" s="19">
        <v>14000</v>
      </c>
      <c r="O158" s="26">
        <f t="shared" si="51"/>
        <v>14000</v>
      </c>
      <c r="AO158" s="26">
        <f t="shared" si="65"/>
        <v>0</v>
      </c>
      <c r="AP158" s="26">
        <f t="shared" si="65"/>
        <v>0</v>
      </c>
      <c r="AS158" s="26">
        <f t="shared" si="53"/>
        <v>14000</v>
      </c>
      <c r="BC158" s="70">
        <f t="shared" si="52"/>
        <v>0</v>
      </c>
      <c r="BD158" s="70">
        <f t="shared" si="52"/>
        <v>0</v>
      </c>
      <c r="BK158" s="26">
        <f t="shared" si="66"/>
        <v>0</v>
      </c>
      <c r="BL158" s="26">
        <f t="shared" si="66"/>
        <v>0</v>
      </c>
      <c r="BN158" s="29">
        <f t="shared" si="67"/>
        <v>0</v>
      </c>
    </row>
    <row r="159" spans="2:66" ht="12.75">
      <c r="B159" s="40" t="s">
        <v>157</v>
      </c>
      <c r="C159" s="5" t="s">
        <v>38</v>
      </c>
      <c r="D159">
        <v>1</v>
      </c>
      <c r="H159">
        <v>1400</v>
      </c>
      <c r="O159" s="2">
        <f t="shared" si="51"/>
        <v>1400</v>
      </c>
      <c r="Y159">
        <v>1</v>
      </c>
      <c r="Z159">
        <v>1400</v>
      </c>
      <c r="AO159" s="2">
        <f t="shared" si="65"/>
        <v>1</v>
      </c>
      <c r="AP159" s="2">
        <f t="shared" si="65"/>
        <v>1400</v>
      </c>
      <c r="AS159" s="2">
        <f t="shared" si="53"/>
        <v>0</v>
      </c>
      <c r="BC159" s="70">
        <f t="shared" si="52"/>
        <v>1</v>
      </c>
      <c r="BD159" s="70">
        <f t="shared" si="52"/>
        <v>1400</v>
      </c>
      <c r="BK159" s="26">
        <f t="shared" si="66"/>
        <v>1</v>
      </c>
      <c r="BL159" s="26">
        <f t="shared" si="66"/>
        <v>1400</v>
      </c>
      <c r="BN159" s="29">
        <f t="shared" si="67"/>
        <v>0</v>
      </c>
    </row>
    <row r="160" spans="2:66" ht="12.75">
      <c r="B160" s="40" t="s">
        <v>98</v>
      </c>
      <c r="C160" s="5" t="s">
        <v>2</v>
      </c>
      <c r="O160" s="2">
        <f t="shared" si="51"/>
        <v>0</v>
      </c>
      <c r="AO160" s="2">
        <f t="shared" si="65"/>
        <v>0</v>
      </c>
      <c r="AP160" s="2">
        <f t="shared" si="65"/>
        <v>0</v>
      </c>
      <c r="AS160" s="2">
        <f t="shared" si="53"/>
        <v>0</v>
      </c>
      <c r="BC160" s="70">
        <f t="shared" si="52"/>
        <v>0</v>
      </c>
      <c r="BD160" s="70">
        <f t="shared" si="52"/>
        <v>0</v>
      </c>
      <c r="BK160" s="26">
        <f t="shared" si="66"/>
        <v>0</v>
      </c>
      <c r="BL160" s="26">
        <f t="shared" si="66"/>
        <v>0</v>
      </c>
      <c r="BN160" s="29">
        <f t="shared" si="67"/>
        <v>0</v>
      </c>
    </row>
    <row r="161" spans="2:66" ht="12.75">
      <c r="B161" s="40" t="s">
        <v>47</v>
      </c>
      <c r="C161" s="5" t="s">
        <v>2</v>
      </c>
      <c r="O161" s="2">
        <f t="shared" si="51"/>
        <v>0</v>
      </c>
      <c r="AO161" s="2">
        <f t="shared" si="65"/>
        <v>0</v>
      </c>
      <c r="AP161" s="2">
        <f t="shared" si="65"/>
        <v>0</v>
      </c>
      <c r="AS161" s="2">
        <f t="shared" si="53"/>
        <v>0</v>
      </c>
      <c r="BC161" s="70">
        <f t="shared" si="52"/>
        <v>0</v>
      </c>
      <c r="BD161" s="70">
        <f t="shared" si="52"/>
        <v>0</v>
      </c>
      <c r="BK161" s="26">
        <f t="shared" si="66"/>
        <v>0</v>
      </c>
      <c r="BL161" s="26">
        <f t="shared" si="66"/>
        <v>0</v>
      </c>
      <c r="BN161" s="29">
        <f t="shared" si="67"/>
        <v>0</v>
      </c>
    </row>
    <row r="162" spans="2:76" s="19" customFormat="1" ht="12.75">
      <c r="B162" s="40" t="s">
        <v>184</v>
      </c>
      <c r="C162" s="5" t="s">
        <v>50</v>
      </c>
      <c r="D162"/>
      <c r="E162"/>
      <c r="F162"/>
      <c r="G162"/>
      <c r="H162"/>
      <c r="I162"/>
      <c r="J162"/>
      <c r="K162"/>
      <c r="L162"/>
      <c r="M162"/>
      <c r="N162"/>
      <c r="O162" s="2">
        <f t="shared" si="51"/>
        <v>0</v>
      </c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 s="2">
        <f t="shared" si="65"/>
        <v>0</v>
      </c>
      <c r="AP162" s="2">
        <f t="shared" si="65"/>
        <v>0</v>
      </c>
      <c r="AQ162"/>
      <c r="AR162"/>
      <c r="AS162" s="2">
        <f t="shared" si="53"/>
        <v>0</v>
      </c>
      <c r="AT162"/>
      <c r="AU162"/>
      <c r="AV162"/>
      <c r="AW162"/>
      <c r="AX162"/>
      <c r="AY162"/>
      <c r="AZ162"/>
      <c r="BA162"/>
      <c r="BB162"/>
      <c r="BC162" s="70">
        <f t="shared" si="52"/>
        <v>0</v>
      </c>
      <c r="BD162" s="70">
        <f t="shared" si="52"/>
        <v>0</v>
      </c>
      <c r="BE162"/>
      <c r="BF162"/>
      <c r="BG162"/>
      <c r="BH162"/>
      <c r="BI162"/>
      <c r="BJ162"/>
      <c r="BK162" s="26">
        <f t="shared" si="66"/>
        <v>0</v>
      </c>
      <c r="BL162" s="26">
        <f t="shared" si="66"/>
        <v>0</v>
      </c>
      <c r="BM162"/>
      <c r="BN162" s="29">
        <f t="shared" si="67"/>
        <v>0</v>
      </c>
      <c r="BO162"/>
      <c r="BP162"/>
      <c r="BQ162"/>
      <c r="BR162"/>
      <c r="BS162"/>
      <c r="BT162"/>
      <c r="BU162"/>
      <c r="BV162"/>
      <c r="BW162"/>
      <c r="BX162"/>
    </row>
    <row r="163" spans="2:66" ht="12.75">
      <c r="B163" s="40" t="s">
        <v>125</v>
      </c>
      <c r="C163" s="5" t="s">
        <v>38</v>
      </c>
      <c r="O163" s="2">
        <f t="shared" si="51"/>
        <v>0</v>
      </c>
      <c r="AO163" s="2">
        <f t="shared" si="65"/>
        <v>0</v>
      </c>
      <c r="AP163" s="2">
        <f t="shared" si="65"/>
        <v>0</v>
      </c>
      <c r="AS163" s="2">
        <f t="shared" si="53"/>
        <v>0</v>
      </c>
      <c r="BC163" s="70">
        <f t="shared" si="52"/>
        <v>0</v>
      </c>
      <c r="BD163" s="70">
        <f t="shared" si="52"/>
        <v>0</v>
      </c>
      <c r="BK163" s="26">
        <f t="shared" si="66"/>
        <v>0</v>
      </c>
      <c r="BL163" s="26">
        <f t="shared" si="66"/>
        <v>0</v>
      </c>
      <c r="BN163" s="29">
        <f t="shared" si="67"/>
        <v>0</v>
      </c>
    </row>
    <row r="164" spans="2:66" ht="12.75">
      <c r="B164" s="40" t="s">
        <v>118</v>
      </c>
      <c r="C164" s="5" t="s">
        <v>49</v>
      </c>
      <c r="O164" s="2">
        <f t="shared" si="51"/>
        <v>0</v>
      </c>
      <c r="AO164" s="2">
        <f t="shared" si="65"/>
        <v>0</v>
      </c>
      <c r="AP164" s="2">
        <f t="shared" si="65"/>
        <v>0</v>
      </c>
      <c r="AS164" s="2">
        <f t="shared" si="53"/>
        <v>0</v>
      </c>
      <c r="BC164" s="70">
        <f t="shared" si="52"/>
        <v>0</v>
      </c>
      <c r="BD164" s="70">
        <f t="shared" si="52"/>
        <v>0</v>
      </c>
      <c r="BK164" s="26">
        <f t="shared" si="66"/>
        <v>0</v>
      </c>
      <c r="BL164" s="26">
        <f t="shared" si="66"/>
        <v>0</v>
      </c>
      <c r="BN164" s="29">
        <f t="shared" si="67"/>
        <v>0</v>
      </c>
    </row>
    <row r="165" spans="2:66" ht="12.75">
      <c r="B165" s="40" t="s">
        <v>185</v>
      </c>
      <c r="C165" s="5" t="s">
        <v>38</v>
      </c>
      <c r="O165" s="2">
        <f t="shared" si="51"/>
        <v>0</v>
      </c>
      <c r="AO165" s="2">
        <f t="shared" si="65"/>
        <v>0</v>
      </c>
      <c r="AP165" s="2">
        <f t="shared" si="65"/>
        <v>0</v>
      </c>
      <c r="AS165" s="2">
        <f t="shared" si="53"/>
        <v>0</v>
      </c>
      <c r="BC165" s="70">
        <f aca="true" t="shared" si="68" ref="BC165:BD228">AO165</f>
        <v>0</v>
      </c>
      <c r="BD165" s="70">
        <f t="shared" si="68"/>
        <v>0</v>
      </c>
      <c r="BK165" s="26">
        <f t="shared" si="66"/>
        <v>0</v>
      </c>
      <c r="BL165" s="26">
        <f t="shared" si="66"/>
        <v>0</v>
      </c>
      <c r="BN165" s="29">
        <f t="shared" si="67"/>
        <v>0</v>
      </c>
    </row>
    <row r="166" spans="2:66" ht="12.75">
      <c r="B166" s="40" t="s">
        <v>52</v>
      </c>
      <c r="C166" s="5" t="s">
        <v>38</v>
      </c>
      <c r="O166" s="2">
        <f aca="true" t="shared" si="69" ref="O166:O234">SUM(E166:N166)</f>
        <v>0</v>
      </c>
      <c r="AO166" s="2">
        <f t="shared" si="65"/>
        <v>0</v>
      </c>
      <c r="AP166" s="2">
        <f t="shared" si="65"/>
        <v>0</v>
      </c>
      <c r="AS166" s="2">
        <f t="shared" si="53"/>
        <v>0</v>
      </c>
      <c r="BC166" s="70">
        <f t="shared" si="68"/>
        <v>0</v>
      </c>
      <c r="BD166" s="70">
        <f t="shared" si="68"/>
        <v>0</v>
      </c>
      <c r="BK166" s="26">
        <f t="shared" si="66"/>
        <v>0</v>
      </c>
      <c r="BL166" s="26">
        <f t="shared" si="66"/>
        <v>0</v>
      </c>
      <c r="BN166" s="29">
        <f t="shared" si="67"/>
        <v>0</v>
      </c>
    </row>
    <row r="167" spans="2:66" ht="12.75">
      <c r="B167" s="40" t="s">
        <v>45</v>
      </c>
      <c r="C167" s="5" t="s">
        <v>53</v>
      </c>
      <c r="O167" s="2">
        <f t="shared" si="69"/>
        <v>0</v>
      </c>
      <c r="AO167" s="2">
        <f t="shared" si="65"/>
        <v>0</v>
      </c>
      <c r="AP167" s="2">
        <f t="shared" si="65"/>
        <v>0</v>
      </c>
      <c r="AS167" s="2">
        <f t="shared" si="53"/>
        <v>0</v>
      </c>
      <c r="BC167" s="70">
        <f t="shared" si="68"/>
        <v>0</v>
      </c>
      <c r="BD167" s="70">
        <f t="shared" si="68"/>
        <v>0</v>
      </c>
      <c r="BK167" s="26">
        <f t="shared" si="66"/>
        <v>0</v>
      </c>
      <c r="BL167" s="26">
        <f t="shared" si="66"/>
        <v>0</v>
      </c>
      <c r="BN167" s="29">
        <f t="shared" si="67"/>
        <v>0</v>
      </c>
    </row>
    <row r="168" spans="2:66" ht="12.75">
      <c r="B168" s="40" t="s">
        <v>186</v>
      </c>
      <c r="C168" s="5" t="s">
        <v>48</v>
      </c>
      <c r="O168" s="2">
        <f t="shared" si="69"/>
        <v>0</v>
      </c>
      <c r="AO168" s="2">
        <f t="shared" si="65"/>
        <v>0</v>
      </c>
      <c r="AP168" s="2">
        <f t="shared" si="65"/>
        <v>0</v>
      </c>
      <c r="AS168" s="2">
        <f t="shared" si="53"/>
        <v>0</v>
      </c>
      <c r="BC168" s="70">
        <f t="shared" si="68"/>
        <v>0</v>
      </c>
      <c r="BD168" s="70">
        <f t="shared" si="68"/>
        <v>0</v>
      </c>
      <c r="BK168" s="26">
        <f t="shared" si="66"/>
        <v>0</v>
      </c>
      <c r="BL168" s="26">
        <f t="shared" si="66"/>
        <v>0</v>
      </c>
      <c r="BN168" s="29">
        <f t="shared" si="67"/>
        <v>0</v>
      </c>
    </row>
    <row r="169" spans="2:66" ht="12.75">
      <c r="B169" s="40" t="s">
        <v>264</v>
      </c>
      <c r="C169" s="5" t="s">
        <v>2</v>
      </c>
      <c r="O169" s="2">
        <f t="shared" si="69"/>
        <v>0</v>
      </c>
      <c r="AO169" s="2">
        <f t="shared" si="65"/>
        <v>0</v>
      </c>
      <c r="AP169" s="2">
        <f t="shared" si="65"/>
        <v>0</v>
      </c>
      <c r="AS169" s="2">
        <f aca="true" t="shared" si="70" ref="AS169:AS238">O169-AP169</f>
        <v>0</v>
      </c>
      <c r="BC169" s="70">
        <f t="shared" si="68"/>
        <v>0</v>
      </c>
      <c r="BD169" s="70">
        <f t="shared" si="68"/>
        <v>0</v>
      </c>
      <c r="BK169" s="26">
        <f t="shared" si="66"/>
        <v>0</v>
      </c>
      <c r="BL169" s="26">
        <f t="shared" si="66"/>
        <v>0</v>
      </c>
      <c r="BN169" s="29">
        <f t="shared" si="67"/>
        <v>0</v>
      </c>
    </row>
    <row r="170" spans="2:66" ht="12.75">
      <c r="B170" s="40" t="s">
        <v>265</v>
      </c>
      <c r="C170" s="5" t="s">
        <v>2</v>
      </c>
      <c r="O170" s="2">
        <f t="shared" si="69"/>
        <v>0</v>
      </c>
      <c r="AO170" s="2">
        <f t="shared" si="65"/>
        <v>0</v>
      </c>
      <c r="AP170" s="2">
        <f t="shared" si="65"/>
        <v>0</v>
      </c>
      <c r="AS170" s="2">
        <f t="shared" si="70"/>
        <v>0</v>
      </c>
      <c r="BC170" s="70">
        <f t="shared" si="68"/>
        <v>0</v>
      </c>
      <c r="BD170" s="70">
        <f t="shared" si="68"/>
        <v>0</v>
      </c>
      <c r="BK170" s="26">
        <f t="shared" si="66"/>
        <v>0</v>
      </c>
      <c r="BL170" s="26">
        <f t="shared" si="66"/>
        <v>0</v>
      </c>
      <c r="BN170" s="29">
        <f t="shared" si="67"/>
        <v>0</v>
      </c>
    </row>
    <row r="171" spans="2:66" ht="12.75">
      <c r="B171" s="40" t="s">
        <v>158</v>
      </c>
      <c r="C171" s="5" t="s">
        <v>38</v>
      </c>
      <c r="D171">
        <f>60*1.26*2.5</f>
        <v>189</v>
      </c>
      <c r="J171">
        <v>24180</v>
      </c>
      <c r="O171" s="2">
        <f t="shared" si="69"/>
        <v>24180</v>
      </c>
      <c r="AC171">
        <f>60*1.26*2.5</f>
        <v>189</v>
      </c>
      <c r="AD171">
        <v>24180</v>
      </c>
      <c r="AO171" s="2">
        <f t="shared" si="65"/>
        <v>189</v>
      </c>
      <c r="AP171" s="2">
        <f t="shared" si="65"/>
        <v>24180</v>
      </c>
      <c r="AS171" s="2">
        <f t="shared" si="70"/>
        <v>0</v>
      </c>
      <c r="BC171" s="70">
        <f t="shared" si="68"/>
        <v>189</v>
      </c>
      <c r="BD171" s="70">
        <f t="shared" si="68"/>
        <v>24180</v>
      </c>
      <c r="BK171" s="26">
        <f t="shared" si="66"/>
        <v>189</v>
      </c>
      <c r="BL171" s="26">
        <f t="shared" si="66"/>
        <v>24180</v>
      </c>
      <c r="BN171" s="29">
        <f t="shared" si="67"/>
        <v>0</v>
      </c>
    </row>
    <row r="172" spans="2:66" ht="12.75">
      <c r="B172" s="40" t="s">
        <v>360</v>
      </c>
      <c r="C172" s="5" t="s">
        <v>48</v>
      </c>
      <c r="D172">
        <v>183</v>
      </c>
      <c r="J172">
        <v>1921</v>
      </c>
      <c r="O172" s="2">
        <f t="shared" si="69"/>
        <v>1921</v>
      </c>
      <c r="AC172">
        <v>183</v>
      </c>
      <c r="AD172">
        <v>1921</v>
      </c>
      <c r="AO172" s="2">
        <f t="shared" si="65"/>
        <v>183</v>
      </c>
      <c r="AP172" s="2">
        <f t="shared" si="65"/>
        <v>1921</v>
      </c>
      <c r="AS172" s="2">
        <f t="shared" si="70"/>
        <v>0</v>
      </c>
      <c r="BC172" s="70">
        <f t="shared" si="68"/>
        <v>183</v>
      </c>
      <c r="BD172" s="70">
        <f t="shared" si="68"/>
        <v>1921</v>
      </c>
      <c r="BK172" s="26">
        <f t="shared" si="66"/>
        <v>183</v>
      </c>
      <c r="BL172" s="26">
        <f t="shared" si="66"/>
        <v>1921</v>
      </c>
      <c r="BN172" s="29">
        <f t="shared" si="67"/>
        <v>0</v>
      </c>
    </row>
    <row r="173" spans="2:66" ht="12.75">
      <c r="B173" s="40" t="s">
        <v>155</v>
      </c>
      <c r="C173" s="5" t="s">
        <v>50</v>
      </c>
      <c r="D173">
        <v>61</v>
      </c>
      <c r="J173">
        <v>21899</v>
      </c>
      <c r="O173" s="2">
        <f t="shared" si="69"/>
        <v>21899</v>
      </c>
      <c r="AC173">
        <v>61</v>
      </c>
      <c r="AD173">
        <v>21899</v>
      </c>
      <c r="AO173" s="2">
        <f t="shared" si="65"/>
        <v>61</v>
      </c>
      <c r="AP173" s="2">
        <f t="shared" si="65"/>
        <v>21899</v>
      </c>
      <c r="AS173" s="2">
        <f t="shared" si="70"/>
        <v>0</v>
      </c>
      <c r="BC173" s="70">
        <f t="shared" si="68"/>
        <v>61</v>
      </c>
      <c r="BD173" s="70">
        <f t="shared" si="68"/>
        <v>21899</v>
      </c>
      <c r="BK173" s="26">
        <f t="shared" si="66"/>
        <v>61</v>
      </c>
      <c r="BL173" s="26">
        <f t="shared" si="66"/>
        <v>21899</v>
      </c>
      <c r="BN173" s="29">
        <f t="shared" si="67"/>
        <v>0</v>
      </c>
    </row>
    <row r="174" spans="2:66" ht="12.75">
      <c r="B174" s="40" t="s">
        <v>155</v>
      </c>
      <c r="C174" s="5" t="s">
        <v>48</v>
      </c>
      <c r="O174" s="2">
        <f t="shared" si="69"/>
        <v>0</v>
      </c>
      <c r="AO174" s="2">
        <f t="shared" si="65"/>
        <v>0</v>
      </c>
      <c r="AP174" s="2">
        <f t="shared" si="65"/>
        <v>0</v>
      </c>
      <c r="AS174" s="2">
        <f t="shared" si="70"/>
        <v>0</v>
      </c>
      <c r="BC174" s="70">
        <f t="shared" si="68"/>
        <v>0</v>
      </c>
      <c r="BD174" s="70">
        <f t="shared" si="68"/>
        <v>0</v>
      </c>
      <c r="BK174" s="26">
        <f t="shared" si="66"/>
        <v>0</v>
      </c>
      <c r="BL174" s="26">
        <f t="shared" si="66"/>
        <v>0</v>
      </c>
      <c r="BN174" s="29">
        <f t="shared" si="67"/>
        <v>0</v>
      </c>
    </row>
    <row r="175" spans="2:66" ht="12.75">
      <c r="B175" s="40" t="s">
        <v>54</v>
      </c>
      <c r="C175" s="5" t="s">
        <v>48</v>
      </c>
      <c r="O175" s="2">
        <f t="shared" si="69"/>
        <v>0</v>
      </c>
      <c r="AO175" s="2">
        <f t="shared" si="65"/>
        <v>0</v>
      </c>
      <c r="AP175" s="2">
        <f t="shared" si="65"/>
        <v>0</v>
      </c>
      <c r="AS175" s="2">
        <f t="shared" si="70"/>
        <v>0</v>
      </c>
      <c r="BC175" s="70">
        <f t="shared" si="68"/>
        <v>0</v>
      </c>
      <c r="BD175" s="70">
        <f t="shared" si="68"/>
        <v>0</v>
      </c>
      <c r="BK175" s="26">
        <f t="shared" si="66"/>
        <v>0</v>
      </c>
      <c r="BL175" s="26">
        <f t="shared" si="66"/>
        <v>0</v>
      </c>
      <c r="BN175" s="29">
        <f t="shared" si="67"/>
        <v>0</v>
      </c>
    </row>
    <row r="176" spans="2:66" ht="12.75">
      <c r="B176" s="40" t="s">
        <v>159</v>
      </c>
      <c r="C176" s="5" t="s">
        <v>2</v>
      </c>
      <c r="O176" s="2">
        <f t="shared" si="69"/>
        <v>0</v>
      </c>
      <c r="AO176" s="2">
        <f t="shared" si="65"/>
        <v>0</v>
      </c>
      <c r="AP176" s="2">
        <f t="shared" si="65"/>
        <v>0</v>
      </c>
      <c r="AS176" s="2">
        <f t="shared" si="70"/>
        <v>0</v>
      </c>
      <c r="BC176" s="70">
        <f t="shared" si="68"/>
        <v>0</v>
      </c>
      <c r="BD176" s="70">
        <f t="shared" si="68"/>
        <v>0</v>
      </c>
      <c r="BK176" s="26">
        <f t="shared" si="66"/>
        <v>0</v>
      </c>
      <c r="BL176" s="26">
        <f t="shared" si="66"/>
        <v>0</v>
      </c>
      <c r="BN176" s="29">
        <f t="shared" si="67"/>
        <v>0</v>
      </c>
    </row>
    <row r="177" spans="2:66" ht="12.75">
      <c r="B177" s="40" t="s">
        <v>187</v>
      </c>
      <c r="C177" s="5" t="s">
        <v>2</v>
      </c>
      <c r="O177" s="2">
        <f t="shared" si="69"/>
        <v>0</v>
      </c>
      <c r="AO177" s="2">
        <f t="shared" si="65"/>
        <v>0</v>
      </c>
      <c r="AP177" s="2">
        <f t="shared" si="65"/>
        <v>0</v>
      </c>
      <c r="AS177" s="2">
        <f t="shared" si="70"/>
        <v>0</v>
      </c>
      <c r="BC177" s="70">
        <f t="shared" si="68"/>
        <v>0</v>
      </c>
      <c r="BD177" s="70">
        <f t="shared" si="68"/>
        <v>0</v>
      </c>
      <c r="BK177" s="26">
        <f t="shared" si="66"/>
        <v>0</v>
      </c>
      <c r="BL177" s="26">
        <f t="shared" si="66"/>
        <v>0</v>
      </c>
      <c r="BN177" s="29">
        <f t="shared" si="67"/>
        <v>0</v>
      </c>
    </row>
    <row r="178" spans="2:66" ht="12.75">
      <c r="B178" s="40" t="s">
        <v>160</v>
      </c>
      <c r="C178" s="5" t="s">
        <v>2</v>
      </c>
      <c r="O178" s="2">
        <f t="shared" si="69"/>
        <v>0</v>
      </c>
      <c r="AO178" s="2">
        <f t="shared" si="65"/>
        <v>0</v>
      </c>
      <c r="AP178" s="2">
        <f t="shared" si="65"/>
        <v>0</v>
      </c>
      <c r="AS178" s="2">
        <f t="shared" si="70"/>
        <v>0</v>
      </c>
      <c r="BC178" s="70">
        <f t="shared" si="68"/>
        <v>0</v>
      </c>
      <c r="BD178" s="70">
        <f t="shared" si="68"/>
        <v>0</v>
      </c>
      <c r="BK178" s="26">
        <f t="shared" si="66"/>
        <v>0</v>
      </c>
      <c r="BL178" s="26">
        <f t="shared" si="66"/>
        <v>0</v>
      </c>
      <c r="BN178" s="29">
        <f t="shared" si="67"/>
        <v>0</v>
      </c>
    </row>
    <row r="179" spans="2:66" ht="12.75">
      <c r="B179" s="40" t="s">
        <v>188</v>
      </c>
      <c r="C179" s="5" t="s">
        <v>2</v>
      </c>
      <c r="O179" s="2">
        <f t="shared" si="69"/>
        <v>0</v>
      </c>
      <c r="AO179" s="2">
        <f t="shared" si="65"/>
        <v>0</v>
      </c>
      <c r="AP179" s="2">
        <f t="shared" si="65"/>
        <v>0</v>
      </c>
      <c r="AS179" s="2">
        <f t="shared" si="70"/>
        <v>0</v>
      </c>
      <c r="BC179" s="70">
        <f t="shared" si="68"/>
        <v>0</v>
      </c>
      <c r="BD179" s="70">
        <f t="shared" si="68"/>
        <v>0</v>
      </c>
      <c r="BK179" s="26">
        <f t="shared" si="66"/>
        <v>0</v>
      </c>
      <c r="BL179" s="26">
        <f t="shared" si="66"/>
        <v>0</v>
      </c>
      <c r="BN179" s="29">
        <f t="shared" si="67"/>
        <v>0</v>
      </c>
    </row>
    <row r="180" spans="2:66" ht="12.75">
      <c r="B180" s="40" t="s">
        <v>126</v>
      </c>
      <c r="C180" s="5" t="s">
        <v>2</v>
      </c>
      <c r="O180" s="2">
        <f t="shared" si="69"/>
        <v>0</v>
      </c>
      <c r="AO180" s="2">
        <f t="shared" si="65"/>
        <v>0</v>
      </c>
      <c r="AP180" s="2">
        <f t="shared" si="65"/>
        <v>0</v>
      </c>
      <c r="AS180" s="2">
        <f t="shared" si="70"/>
        <v>0</v>
      </c>
      <c r="BC180" s="70">
        <f t="shared" si="68"/>
        <v>0</v>
      </c>
      <c r="BD180" s="70">
        <f t="shared" si="68"/>
        <v>0</v>
      </c>
      <c r="BK180" s="26">
        <f t="shared" si="66"/>
        <v>0</v>
      </c>
      <c r="BL180" s="26">
        <f t="shared" si="66"/>
        <v>0</v>
      </c>
      <c r="BN180" s="29">
        <f t="shared" si="67"/>
        <v>0</v>
      </c>
    </row>
    <row r="181" spans="2:66" ht="12.75">
      <c r="B181" s="40" t="s">
        <v>161</v>
      </c>
      <c r="C181" s="5" t="s">
        <v>53</v>
      </c>
      <c r="O181" s="2">
        <f t="shared" si="69"/>
        <v>0</v>
      </c>
      <c r="AO181" s="2">
        <f t="shared" si="65"/>
        <v>0</v>
      </c>
      <c r="AP181" s="2">
        <f t="shared" si="65"/>
        <v>0</v>
      </c>
      <c r="AS181" s="2">
        <f t="shared" si="70"/>
        <v>0</v>
      </c>
      <c r="BC181" s="70">
        <f t="shared" si="68"/>
        <v>0</v>
      </c>
      <c r="BD181" s="70">
        <f t="shared" si="68"/>
        <v>0</v>
      </c>
      <c r="BK181" s="26">
        <f t="shared" si="66"/>
        <v>0</v>
      </c>
      <c r="BL181" s="26">
        <f t="shared" si="66"/>
        <v>0</v>
      </c>
      <c r="BN181" s="29">
        <f t="shared" si="67"/>
        <v>0</v>
      </c>
    </row>
    <row r="182" spans="2:66" ht="12.75">
      <c r="B182" s="40" t="s">
        <v>199</v>
      </c>
      <c r="C182" s="5" t="s">
        <v>2</v>
      </c>
      <c r="O182" s="2">
        <f t="shared" si="69"/>
        <v>0</v>
      </c>
      <c r="AO182" s="2">
        <f t="shared" si="65"/>
        <v>0</v>
      </c>
      <c r="AP182" s="2">
        <f t="shared" si="65"/>
        <v>0</v>
      </c>
      <c r="AS182" s="2">
        <f t="shared" si="70"/>
        <v>0</v>
      </c>
      <c r="BC182" s="70">
        <f t="shared" si="68"/>
        <v>0</v>
      </c>
      <c r="BD182" s="70">
        <f t="shared" si="68"/>
        <v>0</v>
      </c>
      <c r="BK182" s="26">
        <f t="shared" si="66"/>
        <v>0</v>
      </c>
      <c r="BL182" s="26">
        <f t="shared" si="66"/>
        <v>0</v>
      </c>
      <c r="BN182" s="29">
        <f t="shared" si="67"/>
        <v>0</v>
      </c>
    </row>
    <row r="183" spans="2:66" ht="12.75">
      <c r="B183" s="40" t="s">
        <v>202</v>
      </c>
      <c r="C183" s="5"/>
      <c r="O183" s="2">
        <f t="shared" si="69"/>
        <v>0</v>
      </c>
      <c r="AO183" s="2">
        <f t="shared" si="65"/>
        <v>0</v>
      </c>
      <c r="AP183" s="2">
        <f t="shared" si="65"/>
        <v>0</v>
      </c>
      <c r="AS183" s="2">
        <f t="shared" si="70"/>
        <v>0</v>
      </c>
      <c r="BC183" s="70">
        <f t="shared" si="68"/>
        <v>0</v>
      </c>
      <c r="BD183" s="70">
        <f t="shared" si="68"/>
        <v>0</v>
      </c>
      <c r="BK183" s="26">
        <f t="shared" si="66"/>
        <v>0</v>
      </c>
      <c r="BL183" s="26">
        <f t="shared" si="66"/>
        <v>0</v>
      </c>
      <c r="BN183" s="29">
        <f t="shared" si="67"/>
        <v>0</v>
      </c>
    </row>
    <row r="184" spans="2:66" ht="12.75">
      <c r="B184" s="40" t="s">
        <v>272</v>
      </c>
      <c r="C184" s="5"/>
      <c r="O184" s="2">
        <f t="shared" si="69"/>
        <v>0</v>
      </c>
      <c r="AO184" s="2">
        <f t="shared" si="65"/>
        <v>0</v>
      </c>
      <c r="AP184" s="2">
        <f t="shared" si="65"/>
        <v>0</v>
      </c>
      <c r="AS184" s="2">
        <f t="shared" si="70"/>
        <v>0</v>
      </c>
      <c r="BC184" s="70">
        <f t="shared" si="68"/>
        <v>0</v>
      </c>
      <c r="BD184" s="70">
        <f t="shared" si="68"/>
        <v>0</v>
      </c>
      <c r="BK184" s="26">
        <f t="shared" si="66"/>
        <v>0</v>
      </c>
      <c r="BL184" s="26">
        <f t="shared" si="66"/>
        <v>0</v>
      </c>
      <c r="BN184" s="29">
        <f t="shared" si="67"/>
        <v>0</v>
      </c>
    </row>
    <row r="185" spans="2:66" ht="12.75">
      <c r="B185" s="40" t="s">
        <v>232</v>
      </c>
      <c r="C185" s="5"/>
      <c r="O185" s="2">
        <f t="shared" si="69"/>
        <v>0</v>
      </c>
      <c r="AO185" s="2">
        <f t="shared" si="65"/>
        <v>0</v>
      </c>
      <c r="AP185" s="2">
        <f t="shared" si="65"/>
        <v>0</v>
      </c>
      <c r="AS185" s="2">
        <f t="shared" si="70"/>
        <v>0</v>
      </c>
      <c r="BC185" s="70">
        <f t="shared" si="68"/>
        <v>0</v>
      </c>
      <c r="BD185" s="70">
        <f t="shared" si="68"/>
        <v>0</v>
      </c>
      <c r="BK185" s="26">
        <f t="shared" si="66"/>
        <v>0</v>
      </c>
      <c r="BL185" s="26">
        <f t="shared" si="66"/>
        <v>0</v>
      </c>
      <c r="BN185" s="29">
        <f t="shared" si="67"/>
        <v>0</v>
      </c>
    </row>
    <row r="186" spans="2:76" s="19" customFormat="1" ht="12.75">
      <c r="B186" s="40" t="s">
        <v>234</v>
      </c>
      <c r="C186" s="5"/>
      <c r="D186"/>
      <c r="E186"/>
      <c r="F186"/>
      <c r="G186"/>
      <c r="H186"/>
      <c r="I186"/>
      <c r="J186"/>
      <c r="K186"/>
      <c r="L186"/>
      <c r="M186"/>
      <c r="N186"/>
      <c r="O186" s="2">
        <f t="shared" si="69"/>
        <v>0</v>
      </c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 s="2">
        <f t="shared" si="65"/>
        <v>0</v>
      </c>
      <c r="AP186" s="2">
        <f t="shared" si="65"/>
        <v>0</v>
      </c>
      <c r="AQ186"/>
      <c r="AR186"/>
      <c r="AS186" s="2">
        <f t="shared" si="70"/>
        <v>0</v>
      </c>
      <c r="AT186"/>
      <c r="AU186"/>
      <c r="AV186"/>
      <c r="AW186"/>
      <c r="AX186"/>
      <c r="AY186"/>
      <c r="AZ186"/>
      <c r="BA186"/>
      <c r="BB186"/>
      <c r="BC186" s="70">
        <f t="shared" si="68"/>
        <v>0</v>
      </c>
      <c r="BD186" s="70">
        <f t="shared" si="68"/>
        <v>0</v>
      </c>
      <c r="BE186"/>
      <c r="BF186"/>
      <c r="BG186"/>
      <c r="BH186"/>
      <c r="BI186"/>
      <c r="BJ186"/>
      <c r="BK186" s="26">
        <f t="shared" si="66"/>
        <v>0</v>
      </c>
      <c r="BL186" s="26">
        <f t="shared" si="66"/>
        <v>0</v>
      </c>
      <c r="BM186"/>
      <c r="BN186" s="29">
        <f t="shared" si="67"/>
        <v>0</v>
      </c>
      <c r="BO186"/>
      <c r="BP186"/>
      <c r="BQ186"/>
      <c r="BR186"/>
      <c r="BS186"/>
      <c r="BT186"/>
      <c r="BU186"/>
      <c r="BV186"/>
      <c r="BW186"/>
      <c r="BX186"/>
    </row>
    <row r="187" spans="2:66" ht="12.75">
      <c r="B187" s="40" t="s">
        <v>273</v>
      </c>
      <c r="C187" s="5"/>
      <c r="O187" s="2">
        <f t="shared" si="69"/>
        <v>0</v>
      </c>
      <c r="AO187" s="2">
        <f t="shared" si="65"/>
        <v>0</v>
      </c>
      <c r="AP187" s="2">
        <f t="shared" si="65"/>
        <v>0</v>
      </c>
      <c r="AS187" s="2">
        <f t="shared" si="70"/>
        <v>0</v>
      </c>
      <c r="BC187" s="70">
        <f t="shared" si="68"/>
        <v>0</v>
      </c>
      <c r="BD187" s="70">
        <f t="shared" si="68"/>
        <v>0</v>
      </c>
      <c r="BK187" s="26">
        <f t="shared" si="66"/>
        <v>0</v>
      </c>
      <c r="BL187" s="26">
        <f t="shared" si="66"/>
        <v>0</v>
      </c>
      <c r="BN187" s="29">
        <f t="shared" si="67"/>
        <v>0</v>
      </c>
    </row>
    <row r="188" spans="2:66" ht="12.75">
      <c r="B188" s="40" t="s">
        <v>238</v>
      </c>
      <c r="C188" s="5"/>
      <c r="O188" s="2">
        <f t="shared" si="69"/>
        <v>0</v>
      </c>
      <c r="AO188" s="2">
        <f t="shared" si="65"/>
        <v>0</v>
      </c>
      <c r="AP188" s="2">
        <f t="shared" si="65"/>
        <v>0</v>
      </c>
      <c r="AS188" s="2">
        <f t="shared" si="70"/>
        <v>0</v>
      </c>
      <c r="BC188" s="70">
        <f t="shared" si="68"/>
        <v>0</v>
      </c>
      <c r="BD188" s="70">
        <f t="shared" si="68"/>
        <v>0</v>
      </c>
      <c r="BK188" s="26">
        <f t="shared" si="66"/>
        <v>0</v>
      </c>
      <c r="BL188" s="26">
        <f t="shared" si="66"/>
        <v>0</v>
      </c>
      <c r="BN188" s="29">
        <f t="shared" si="67"/>
        <v>0</v>
      </c>
    </row>
    <row r="189" spans="2:66" ht="12.75">
      <c r="B189" s="40" t="s">
        <v>255</v>
      </c>
      <c r="C189" s="5"/>
      <c r="O189" s="2">
        <f t="shared" si="69"/>
        <v>0</v>
      </c>
      <c r="AO189" s="2">
        <f t="shared" si="65"/>
        <v>0</v>
      </c>
      <c r="AP189" s="2">
        <f t="shared" si="65"/>
        <v>0</v>
      </c>
      <c r="AS189" s="2">
        <f t="shared" si="70"/>
        <v>0</v>
      </c>
      <c r="BC189" s="70">
        <f t="shared" si="68"/>
        <v>0</v>
      </c>
      <c r="BD189" s="70">
        <f t="shared" si="68"/>
        <v>0</v>
      </c>
      <c r="BK189" s="26">
        <f t="shared" si="66"/>
        <v>0</v>
      </c>
      <c r="BL189" s="26">
        <f t="shared" si="66"/>
        <v>0</v>
      </c>
      <c r="BN189" s="29">
        <f t="shared" si="67"/>
        <v>0</v>
      </c>
    </row>
    <row r="190" spans="2:66" ht="12.75">
      <c r="B190" s="40" t="s">
        <v>181</v>
      </c>
      <c r="C190" s="5"/>
      <c r="O190" s="2">
        <f t="shared" si="69"/>
        <v>0</v>
      </c>
      <c r="AO190" s="2">
        <f t="shared" si="65"/>
        <v>0</v>
      </c>
      <c r="AP190" s="2">
        <f t="shared" si="65"/>
        <v>0</v>
      </c>
      <c r="AS190" s="2">
        <f t="shared" si="70"/>
        <v>0</v>
      </c>
      <c r="BC190" s="70">
        <f t="shared" si="68"/>
        <v>0</v>
      </c>
      <c r="BD190" s="70">
        <f t="shared" si="68"/>
        <v>0</v>
      </c>
      <c r="BK190" s="26">
        <f t="shared" si="66"/>
        <v>0</v>
      </c>
      <c r="BL190" s="26">
        <f t="shared" si="66"/>
        <v>0</v>
      </c>
      <c r="BN190" s="29">
        <f t="shared" si="67"/>
        <v>0</v>
      </c>
    </row>
    <row r="191" spans="3:66" ht="12.75">
      <c r="C191" s="5"/>
      <c r="O191" s="2">
        <f t="shared" si="69"/>
        <v>0</v>
      </c>
      <c r="AO191" s="2">
        <f t="shared" si="65"/>
        <v>0</v>
      </c>
      <c r="AP191" s="2">
        <f t="shared" si="65"/>
        <v>0</v>
      </c>
      <c r="AS191" s="2">
        <f t="shared" si="70"/>
        <v>0</v>
      </c>
      <c r="BC191" s="70">
        <f t="shared" si="68"/>
        <v>0</v>
      </c>
      <c r="BD191" s="70">
        <f t="shared" si="68"/>
        <v>0</v>
      </c>
      <c r="BK191" s="26">
        <f t="shared" si="66"/>
        <v>0</v>
      </c>
      <c r="BL191" s="26">
        <f t="shared" si="66"/>
        <v>0</v>
      </c>
      <c r="BN191" s="29">
        <f t="shared" si="67"/>
        <v>0</v>
      </c>
    </row>
    <row r="192" spans="2:66" ht="12.75">
      <c r="B192" s="60"/>
      <c r="C192" s="5"/>
      <c r="O192" s="2">
        <f t="shared" si="69"/>
        <v>0</v>
      </c>
      <c r="AO192" s="2">
        <f t="shared" si="65"/>
        <v>0</v>
      </c>
      <c r="AP192" s="2">
        <f t="shared" si="65"/>
        <v>0</v>
      </c>
      <c r="AS192" s="2">
        <f t="shared" si="70"/>
        <v>0</v>
      </c>
      <c r="BC192" s="70">
        <f t="shared" si="68"/>
        <v>0</v>
      </c>
      <c r="BD192" s="70">
        <f t="shared" si="68"/>
        <v>0</v>
      </c>
      <c r="BK192" s="26">
        <f t="shared" si="66"/>
        <v>0</v>
      </c>
      <c r="BL192" s="26">
        <f t="shared" si="66"/>
        <v>0</v>
      </c>
      <c r="BN192" s="29">
        <f t="shared" si="67"/>
        <v>0</v>
      </c>
    </row>
    <row r="193" spans="1:68" ht="14.25">
      <c r="A193" s="10">
        <v>11</v>
      </c>
      <c r="B193" s="76" t="s">
        <v>189</v>
      </c>
      <c r="C193" s="8"/>
      <c r="D193" s="7"/>
      <c r="E193" s="7">
        <f aca="true" t="shared" si="71" ref="E193:N193">SUM(E194:E202)</f>
        <v>0</v>
      </c>
      <c r="F193" s="7">
        <f t="shared" si="71"/>
        <v>0</v>
      </c>
      <c r="G193" s="7">
        <f t="shared" si="71"/>
        <v>0</v>
      </c>
      <c r="H193" s="7">
        <f t="shared" si="71"/>
        <v>0</v>
      </c>
      <c r="I193" s="7">
        <f t="shared" si="71"/>
        <v>300</v>
      </c>
      <c r="J193" s="7">
        <f t="shared" si="71"/>
        <v>0</v>
      </c>
      <c r="K193" s="7">
        <f t="shared" si="71"/>
        <v>0</v>
      </c>
      <c r="L193" s="7">
        <f t="shared" si="71"/>
        <v>0</v>
      </c>
      <c r="M193" s="7">
        <f t="shared" si="71"/>
        <v>0</v>
      </c>
      <c r="N193" s="7">
        <f t="shared" si="71"/>
        <v>0</v>
      </c>
      <c r="O193" s="9"/>
      <c r="P193" s="28"/>
      <c r="Q193" s="7">
        <f aca="true" t="shared" si="72" ref="Q193:AO193">SUM(Q194:Q202)</f>
        <v>0</v>
      </c>
      <c r="R193" s="7">
        <f t="shared" si="72"/>
        <v>0</v>
      </c>
      <c r="S193" s="7">
        <f t="shared" si="72"/>
        <v>0</v>
      </c>
      <c r="T193" s="7">
        <f t="shared" si="72"/>
        <v>0</v>
      </c>
      <c r="U193" s="7">
        <f t="shared" si="72"/>
        <v>15</v>
      </c>
      <c r="V193" s="7">
        <f t="shared" si="72"/>
        <v>300</v>
      </c>
      <c r="W193" s="7">
        <f t="shared" si="72"/>
        <v>0</v>
      </c>
      <c r="X193" s="7">
        <f t="shared" si="72"/>
        <v>0</v>
      </c>
      <c r="Y193" s="7">
        <f t="shared" si="72"/>
        <v>0</v>
      </c>
      <c r="Z193" s="7">
        <f t="shared" si="72"/>
        <v>0</v>
      </c>
      <c r="AA193" s="7">
        <f t="shared" si="72"/>
        <v>0</v>
      </c>
      <c r="AB193" s="7">
        <f t="shared" si="72"/>
        <v>0</v>
      </c>
      <c r="AC193" s="7">
        <f t="shared" si="72"/>
        <v>0</v>
      </c>
      <c r="AD193" s="7">
        <f t="shared" si="72"/>
        <v>0</v>
      </c>
      <c r="AE193" s="7">
        <f t="shared" si="72"/>
        <v>0</v>
      </c>
      <c r="AF193" s="7">
        <f t="shared" si="72"/>
        <v>0</v>
      </c>
      <c r="AG193" s="7">
        <f t="shared" si="72"/>
        <v>0</v>
      </c>
      <c r="AH193" s="7">
        <f t="shared" si="72"/>
        <v>0</v>
      </c>
      <c r="AI193" s="7">
        <f t="shared" si="72"/>
        <v>0</v>
      </c>
      <c r="AJ193" s="7">
        <f t="shared" si="72"/>
        <v>0</v>
      </c>
      <c r="AK193" s="7">
        <f t="shared" si="72"/>
        <v>0</v>
      </c>
      <c r="AL193" s="7">
        <f t="shared" si="72"/>
        <v>0</v>
      </c>
      <c r="AM193" s="7">
        <f t="shared" si="72"/>
        <v>0</v>
      </c>
      <c r="AN193" s="7">
        <f t="shared" si="72"/>
        <v>0</v>
      </c>
      <c r="AO193" s="7">
        <f t="shared" si="72"/>
        <v>15</v>
      </c>
      <c r="AP193" s="7">
        <f>SUM(AP194:AP202)</f>
        <v>300</v>
      </c>
      <c r="AQ193" s="9"/>
      <c r="AR193" s="9"/>
      <c r="AS193" s="7">
        <f>SUM(AS194:AS202)</f>
        <v>0</v>
      </c>
      <c r="AT193" s="9"/>
      <c r="AU193" s="9"/>
      <c r="AV193" s="9"/>
      <c r="AW193" s="8">
        <f aca="true" t="shared" si="73" ref="AW193:BD193">SUM(AW194:AW202)</f>
        <v>0</v>
      </c>
      <c r="AX193" s="8">
        <f t="shared" si="73"/>
        <v>0</v>
      </c>
      <c r="AY193" s="8">
        <f t="shared" si="73"/>
        <v>0</v>
      </c>
      <c r="AZ193" s="8">
        <f t="shared" si="73"/>
        <v>0</v>
      </c>
      <c r="BA193" s="8">
        <f t="shared" si="73"/>
        <v>0</v>
      </c>
      <c r="BB193" s="8">
        <f t="shared" si="73"/>
        <v>0</v>
      </c>
      <c r="BC193" s="8">
        <f t="shared" si="73"/>
        <v>15</v>
      </c>
      <c r="BD193" s="8">
        <f t="shared" si="73"/>
        <v>300</v>
      </c>
      <c r="BE193" s="8">
        <f aca="true" t="shared" si="74" ref="BE193:BL193">SUM(BE194:BE202)</f>
        <v>0</v>
      </c>
      <c r="BF193" s="8">
        <f t="shared" si="74"/>
        <v>0</v>
      </c>
      <c r="BG193" s="8">
        <f t="shared" si="74"/>
        <v>0</v>
      </c>
      <c r="BH193" s="8">
        <f t="shared" si="74"/>
        <v>0</v>
      </c>
      <c r="BI193" s="8">
        <f t="shared" si="74"/>
        <v>0</v>
      </c>
      <c r="BJ193" s="8">
        <f t="shared" si="74"/>
        <v>0</v>
      </c>
      <c r="BK193" s="8">
        <f t="shared" si="74"/>
        <v>15</v>
      </c>
      <c r="BL193" s="8">
        <f t="shared" si="74"/>
        <v>300</v>
      </c>
      <c r="BM193" s="8"/>
      <c r="BN193" s="8">
        <f>SUM(BN194:BN202)</f>
        <v>0</v>
      </c>
      <c r="BO193" s="9"/>
      <c r="BP193" s="9"/>
    </row>
    <row r="194" spans="2:66" ht="12.75">
      <c r="B194" s="40" t="s">
        <v>55</v>
      </c>
      <c r="C194" s="5" t="s">
        <v>2</v>
      </c>
      <c r="O194" s="2">
        <f t="shared" si="69"/>
        <v>0</v>
      </c>
      <c r="AO194" s="2">
        <f aca="true" t="shared" si="75" ref="AO194:AP203">Q194+S194+U194+W194+Y194+AA194+AC194+AE194+AG194+AI194+AK194+AM194</f>
        <v>0</v>
      </c>
      <c r="AP194" s="2">
        <f t="shared" si="75"/>
        <v>0</v>
      </c>
      <c r="AS194" s="2">
        <f t="shared" si="70"/>
        <v>0</v>
      </c>
      <c r="BC194" s="70">
        <f>AO194</f>
        <v>0</v>
      </c>
      <c r="BD194" s="70">
        <f t="shared" si="68"/>
        <v>0</v>
      </c>
      <c r="BK194" s="26">
        <f aca="true" t="shared" si="76" ref="BK194:BL203">AW194+AY194+BA194+BC194+BE194+BG194+BI194</f>
        <v>0</v>
      </c>
      <c r="BL194" s="26">
        <f t="shared" si="76"/>
        <v>0</v>
      </c>
      <c r="BN194" s="29">
        <f t="shared" si="67"/>
        <v>0</v>
      </c>
    </row>
    <row r="195" spans="2:66" ht="12.75">
      <c r="B195" s="40" t="s">
        <v>56</v>
      </c>
      <c r="C195" s="5" t="s">
        <v>2</v>
      </c>
      <c r="O195" s="2">
        <f t="shared" si="69"/>
        <v>0</v>
      </c>
      <c r="AO195" s="2">
        <f t="shared" si="75"/>
        <v>0</v>
      </c>
      <c r="AP195" s="2">
        <f t="shared" si="75"/>
        <v>0</v>
      </c>
      <c r="AS195" s="2">
        <f t="shared" si="70"/>
        <v>0</v>
      </c>
      <c r="BC195" s="70">
        <f t="shared" si="68"/>
        <v>0</v>
      </c>
      <c r="BD195" s="70">
        <f t="shared" si="68"/>
        <v>0</v>
      </c>
      <c r="BK195" s="26">
        <f t="shared" si="76"/>
        <v>0</v>
      </c>
      <c r="BL195" s="26">
        <f t="shared" si="76"/>
        <v>0</v>
      </c>
      <c r="BN195" s="29">
        <f t="shared" si="67"/>
        <v>0</v>
      </c>
    </row>
    <row r="196" spans="2:66" ht="12.75">
      <c r="B196" s="40" t="s">
        <v>57</v>
      </c>
      <c r="C196" s="5" t="s">
        <v>2</v>
      </c>
      <c r="O196" s="2">
        <f t="shared" si="69"/>
        <v>0</v>
      </c>
      <c r="AO196" s="2">
        <f t="shared" si="75"/>
        <v>0</v>
      </c>
      <c r="AP196" s="2">
        <f t="shared" si="75"/>
        <v>0</v>
      </c>
      <c r="AS196" s="2">
        <f t="shared" si="70"/>
        <v>0</v>
      </c>
      <c r="BC196" s="70">
        <f t="shared" si="68"/>
        <v>0</v>
      </c>
      <c r="BD196" s="70">
        <f t="shared" si="68"/>
        <v>0</v>
      </c>
      <c r="BK196" s="26">
        <f t="shared" si="76"/>
        <v>0</v>
      </c>
      <c r="BL196" s="26">
        <f t="shared" si="76"/>
        <v>0</v>
      </c>
      <c r="BN196" s="29">
        <f t="shared" si="67"/>
        <v>0</v>
      </c>
    </row>
    <row r="197" spans="2:66" ht="12.75">
      <c r="B197" s="40" t="s">
        <v>58</v>
      </c>
      <c r="C197" s="5" t="s">
        <v>2</v>
      </c>
      <c r="O197" s="2">
        <f t="shared" si="69"/>
        <v>0</v>
      </c>
      <c r="AO197" s="2">
        <f t="shared" si="75"/>
        <v>0</v>
      </c>
      <c r="AP197" s="2">
        <f t="shared" si="75"/>
        <v>0</v>
      </c>
      <c r="AS197" s="2">
        <f t="shared" si="70"/>
        <v>0</v>
      </c>
      <c r="BC197" s="70">
        <f t="shared" si="68"/>
        <v>0</v>
      </c>
      <c r="BD197" s="70">
        <f t="shared" si="68"/>
        <v>0</v>
      </c>
      <c r="BK197" s="26">
        <f t="shared" si="76"/>
        <v>0</v>
      </c>
      <c r="BL197" s="26">
        <f t="shared" si="76"/>
        <v>0</v>
      </c>
      <c r="BN197" s="29">
        <f t="shared" si="67"/>
        <v>0</v>
      </c>
    </row>
    <row r="198" spans="2:66" ht="12.75">
      <c r="B198" s="40" t="s">
        <v>59</v>
      </c>
      <c r="C198" s="5" t="s">
        <v>2</v>
      </c>
      <c r="D198" s="19"/>
      <c r="O198" s="2">
        <f t="shared" si="69"/>
        <v>0</v>
      </c>
      <c r="AO198" s="2">
        <f t="shared" si="75"/>
        <v>0</v>
      </c>
      <c r="AP198" s="2">
        <f t="shared" si="75"/>
        <v>0</v>
      </c>
      <c r="AS198" s="2">
        <f t="shared" si="70"/>
        <v>0</v>
      </c>
      <c r="BC198" s="70">
        <f t="shared" si="68"/>
        <v>0</v>
      </c>
      <c r="BD198" s="70">
        <f t="shared" si="68"/>
        <v>0</v>
      </c>
      <c r="BK198" s="26">
        <f t="shared" si="76"/>
        <v>0</v>
      </c>
      <c r="BL198" s="26">
        <f t="shared" si="76"/>
        <v>0</v>
      </c>
      <c r="BN198" s="29">
        <f t="shared" si="67"/>
        <v>0</v>
      </c>
    </row>
    <row r="199" spans="2:66" ht="12.75">
      <c r="B199" s="40" t="s">
        <v>60</v>
      </c>
      <c r="C199" s="5" t="s">
        <v>2</v>
      </c>
      <c r="O199" s="2">
        <f t="shared" si="69"/>
        <v>0</v>
      </c>
      <c r="AO199" s="2">
        <f t="shared" si="75"/>
        <v>0</v>
      </c>
      <c r="AP199" s="2">
        <f t="shared" si="75"/>
        <v>0</v>
      </c>
      <c r="AS199" s="2">
        <f t="shared" si="70"/>
        <v>0</v>
      </c>
      <c r="BC199" s="70">
        <f t="shared" si="68"/>
        <v>0</v>
      </c>
      <c r="BD199" s="70">
        <f t="shared" si="68"/>
        <v>0</v>
      </c>
      <c r="BK199" s="26">
        <f t="shared" si="76"/>
        <v>0</v>
      </c>
      <c r="BL199" s="26">
        <f t="shared" si="76"/>
        <v>0</v>
      </c>
      <c r="BN199" s="29">
        <f t="shared" si="67"/>
        <v>0</v>
      </c>
    </row>
    <row r="200" spans="2:66" ht="12.75">
      <c r="B200" s="40" t="s">
        <v>61</v>
      </c>
      <c r="C200" s="5" t="s">
        <v>2</v>
      </c>
      <c r="D200" s="38">
        <v>15</v>
      </c>
      <c r="I200">
        <f>D200*20</f>
        <v>300</v>
      </c>
      <c r="O200" s="2">
        <f t="shared" si="69"/>
        <v>300</v>
      </c>
      <c r="U200">
        <v>15</v>
      </c>
      <c r="V200">
        <f>U200*20</f>
        <v>300</v>
      </c>
      <c r="AO200" s="2">
        <f t="shared" si="75"/>
        <v>15</v>
      </c>
      <c r="AP200" s="2">
        <f t="shared" si="75"/>
        <v>300</v>
      </c>
      <c r="AS200" s="2">
        <f t="shared" si="70"/>
        <v>0</v>
      </c>
      <c r="BC200" s="70">
        <f t="shared" si="68"/>
        <v>15</v>
      </c>
      <c r="BD200" s="70">
        <f t="shared" si="68"/>
        <v>300</v>
      </c>
      <c r="BK200" s="26">
        <f t="shared" si="76"/>
        <v>15</v>
      </c>
      <c r="BL200" s="26">
        <f t="shared" si="76"/>
        <v>300</v>
      </c>
      <c r="BN200" s="29">
        <f t="shared" si="67"/>
        <v>0</v>
      </c>
    </row>
    <row r="201" spans="2:66" ht="12.75">
      <c r="B201" s="40" t="s">
        <v>62</v>
      </c>
      <c r="C201" s="5" t="s">
        <v>2</v>
      </c>
      <c r="O201" s="2">
        <f t="shared" si="69"/>
        <v>0</v>
      </c>
      <c r="AO201" s="2">
        <f t="shared" si="75"/>
        <v>0</v>
      </c>
      <c r="AP201" s="2">
        <f t="shared" si="75"/>
        <v>0</v>
      </c>
      <c r="AS201" s="2">
        <f t="shared" si="70"/>
        <v>0</v>
      </c>
      <c r="BC201" s="70">
        <f t="shared" si="68"/>
        <v>0</v>
      </c>
      <c r="BD201" s="70">
        <f t="shared" si="68"/>
        <v>0</v>
      </c>
      <c r="BK201" s="26">
        <f t="shared" si="76"/>
        <v>0</v>
      </c>
      <c r="BL201" s="26">
        <f t="shared" si="76"/>
        <v>0</v>
      </c>
      <c r="BN201" s="29">
        <f t="shared" si="67"/>
        <v>0</v>
      </c>
    </row>
    <row r="202" spans="2:66" ht="12.75">
      <c r="B202" s="40" t="s">
        <v>258</v>
      </c>
      <c r="C202" s="5"/>
      <c r="D202" s="38"/>
      <c r="I202">
        <f>D202*100</f>
        <v>0</v>
      </c>
      <c r="O202" s="2">
        <f t="shared" si="69"/>
        <v>0</v>
      </c>
      <c r="AO202" s="2">
        <f t="shared" si="75"/>
        <v>0</v>
      </c>
      <c r="AP202" s="2">
        <f t="shared" si="75"/>
        <v>0</v>
      </c>
      <c r="AS202" s="2">
        <f t="shared" si="70"/>
        <v>0</v>
      </c>
      <c r="BC202" s="70">
        <f t="shared" si="68"/>
        <v>0</v>
      </c>
      <c r="BD202" s="70">
        <f t="shared" si="68"/>
        <v>0</v>
      </c>
      <c r="BK202" s="26">
        <f t="shared" si="76"/>
        <v>0</v>
      </c>
      <c r="BL202" s="26">
        <f t="shared" si="76"/>
        <v>0</v>
      </c>
      <c r="BN202" s="29">
        <f t="shared" si="67"/>
        <v>0</v>
      </c>
    </row>
    <row r="203" spans="1:68" ht="14.25">
      <c r="A203" s="10">
        <v>12</v>
      </c>
      <c r="B203" s="61" t="s">
        <v>314</v>
      </c>
      <c r="C203" s="8"/>
      <c r="D203" s="21"/>
      <c r="E203" s="7"/>
      <c r="F203" s="7"/>
      <c r="G203" s="7"/>
      <c r="H203" s="7"/>
      <c r="I203" s="9"/>
      <c r="J203" s="9"/>
      <c r="K203" s="9"/>
      <c r="L203" s="9"/>
      <c r="M203" s="9"/>
      <c r="N203" s="9"/>
      <c r="O203" s="9">
        <f t="shared" si="69"/>
        <v>0</v>
      </c>
      <c r="P203" s="28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>
        <f t="shared" si="75"/>
        <v>0</v>
      </c>
      <c r="AP203" s="9">
        <f t="shared" si="75"/>
        <v>0</v>
      </c>
      <c r="AQ203" s="9"/>
      <c r="AR203" s="9"/>
      <c r="AS203" s="9">
        <f t="shared" si="70"/>
        <v>0</v>
      </c>
      <c r="AT203" s="9"/>
      <c r="AU203" s="9"/>
      <c r="AV203" s="9"/>
      <c r="AW203" s="9"/>
      <c r="AX203" s="9"/>
      <c r="AY203" s="9"/>
      <c r="AZ203" s="9"/>
      <c r="BA203" s="9"/>
      <c r="BB203" s="9"/>
      <c r="BC203" s="24">
        <f t="shared" si="68"/>
        <v>0</v>
      </c>
      <c r="BD203" s="24">
        <f t="shared" si="68"/>
        <v>0</v>
      </c>
      <c r="BE203" s="9"/>
      <c r="BF203" s="9"/>
      <c r="BG203" s="9"/>
      <c r="BH203" s="9"/>
      <c r="BI203" s="9"/>
      <c r="BJ203" s="9"/>
      <c r="BK203" s="24">
        <f t="shared" si="76"/>
        <v>0</v>
      </c>
      <c r="BL203" s="24">
        <f t="shared" si="76"/>
        <v>0</v>
      </c>
      <c r="BM203" s="9"/>
      <c r="BN203" s="29">
        <f t="shared" si="67"/>
        <v>0</v>
      </c>
      <c r="BO203" s="9"/>
      <c r="BP203" s="9"/>
    </row>
    <row r="204" spans="1:66" ht="14.25">
      <c r="A204" s="10">
        <v>13</v>
      </c>
      <c r="B204" s="61" t="s">
        <v>14</v>
      </c>
      <c r="C204" s="8"/>
      <c r="D204" s="7"/>
      <c r="E204" s="7">
        <f>SUM(E205:E220)</f>
        <v>0</v>
      </c>
      <c r="F204" s="7">
        <f>SUM(F205:F220)</f>
        <v>0</v>
      </c>
      <c r="G204" s="7">
        <f aca="true" t="shared" si="77" ref="G204:N204">SUM(G205:G220)</f>
        <v>0</v>
      </c>
      <c r="H204" s="7">
        <f t="shared" si="77"/>
        <v>2500</v>
      </c>
      <c r="I204" s="7">
        <f t="shared" si="77"/>
        <v>0</v>
      </c>
      <c r="J204" s="7">
        <f t="shared" si="77"/>
        <v>41064</v>
      </c>
      <c r="K204" s="7">
        <f t="shared" si="77"/>
        <v>0</v>
      </c>
      <c r="L204" s="7">
        <f t="shared" si="77"/>
        <v>0</v>
      </c>
      <c r="M204" s="7">
        <f t="shared" si="77"/>
        <v>0</v>
      </c>
      <c r="N204" s="7">
        <f t="shared" si="77"/>
        <v>0</v>
      </c>
      <c r="O204" s="9"/>
      <c r="P204" s="28"/>
      <c r="Q204" s="7">
        <f>SUM(Q205:Q217)</f>
        <v>0</v>
      </c>
      <c r="R204" s="7">
        <f aca="true" t="shared" si="78" ref="R204:AN204">SUM(R205:R217)</f>
        <v>0</v>
      </c>
      <c r="S204" s="7">
        <f t="shared" si="78"/>
        <v>0</v>
      </c>
      <c r="T204" s="7">
        <f t="shared" si="78"/>
        <v>0</v>
      </c>
      <c r="U204" s="7">
        <f t="shared" si="78"/>
        <v>1</v>
      </c>
      <c r="V204" s="7">
        <f t="shared" si="78"/>
        <v>2000</v>
      </c>
      <c r="W204" s="7">
        <f t="shared" si="78"/>
        <v>0</v>
      </c>
      <c r="X204" s="7">
        <f t="shared" si="78"/>
        <v>0</v>
      </c>
      <c r="Y204" s="7">
        <f t="shared" si="78"/>
        <v>0</v>
      </c>
      <c r="Z204" s="7">
        <f t="shared" si="78"/>
        <v>0</v>
      </c>
      <c r="AA204" s="7">
        <f t="shared" si="78"/>
        <v>36</v>
      </c>
      <c r="AB204" s="7">
        <f t="shared" si="78"/>
        <v>24088</v>
      </c>
      <c r="AC204" s="7">
        <f t="shared" si="78"/>
        <v>0</v>
      </c>
      <c r="AD204" s="7">
        <f t="shared" si="78"/>
        <v>0</v>
      </c>
      <c r="AE204" s="7">
        <f t="shared" si="78"/>
        <v>8</v>
      </c>
      <c r="AF204" s="7">
        <f t="shared" si="78"/>
        <v>17486</v>
      </c>
      <c r="AG204" s="7">
        <f t="shared" si="78"/>
        <v>0</v>
      </c>
      <c r="AH204" s="7">
        <f t="shared" si="78"/>
        <v>0</v>
      </c>
      <c r="AI204" s="7">
        <f t="shared" si="78"/>
        <v>0</v>
      </c>
      <c r="AJ204" s="7">
        <f t="shared" si="78"/>
        <v>0</v>
      </c>
      <c r="AK204" s="7">
        <f>SUM(AK205:AK213)</f>
        <v>0</v>
      </c>
      <c r="AL204" s="7">
        <f>SUM(AL205:AL213)</f>
        <v>0</v>
      </c>
      <c r="AM204" s="7">
        <f t="shared" si="78"/>
        <v>0</v>
      </c>
      <c r="AN204" s="7">
        <f t="shared" si="78"/>
        <v>0</v>
      </c>
      <c r="AO204" s="7">
        <f>SUM(AO205:AO220)</f>
        <v>45</v>
      </c>
      <c r="AP204" s="7">
        <f>SUM(AP205:AP220)</f>
        <v>43574</v>
      </c>
      <c r="AQ204" s="9"/>
      <c r="AR204" s="9"/>
      <c r="AS204" s="7">
        <f>SUM(AS205:AS213)</f>
        <v>-10</v>
      </c>
      <c r="AT204" s="9"/>
      <c r="AU204" s="9"/>
      <c r="AW204" s="8">
        <f aca="true" t="shared" si="79" ref="AW204:BD204">SUM(AW205:AW220)</f>
        <v>0</v>
      </c>
      <c r="AX204" s="8">
        <f t="shared" si="79"/>
        <v>0</v>
      </c>
      <c r="AY204" s="8">
        <f t="shared" si="79"/>
        <v>0</v>
      </c>
      <c r="AZ204" s="8">
        <f t="shared" si="79"/>
        <v>0</v>
      </c>
      <c r="BA204" s="8">
        <f t="shared" si="79"/>
        <v>0</v>
      </c>
      <c r="BB204" s="8">
        <f t="shared" si="79"/>
        <v>0</v>
      </c>
      <c r="BC204" s="8">
        <f t="shared" si="79"/>
        <v>45</v>
      </c>
      <c r="BD204" s="8">
        <f t="shared" si="79"/>
        <v>43574</v>
      </c>
      <c r="BE204" s="8">
        <f aca="true" t="shared" si="80" ref="BE204:BL204">SUM(BE205:BE220)</f>
        <v>0</v>
      </c>
      <c r="BF204" s="8">
        <f t="shared" si="80"/>
        <v>0</v>
      </c>
      <c r="BG204" s="8">
        <f t="shared" si="80"/>
        <v>0</v>
      </c>
      <c r="BH204" s="8">
        <f t="shared" si="80"/>
        <v>0</v>
      </c>
      <c r="BI204" s="8">
        <f t="shared" si="80"/>
        <v>0</v>
      </c>
      <c r="BJ204" s="8">
        <f t="shared" si="80"/>
        <v>0</v>
      </c>
      <c r="BK204" s="8">
        <f t="shared" si="80"/>
        <v>45</v>
      </c>
      <c r="BL204" s="8">
        <f t="shared" si="80"/>
        <v>43574</v>
      </c>
      <c r="BM204" s="8"/>
      <c r="BN204" s="8">
        <f>SUM(BN205:BN220)</f>
        <v>0</v>
      </c>
    </row>
    <row r="205" spans="1:68" ht="14.25">
      <c r="A205" s="22"/>
      <c r="B205" s="112" t="s">
        <v>347</v>
      </c>
      <c r="C205" s="5" t="s">
        <v>2</v>
      </c>
      <c r="D205" s="4"/>
      <c r="E205" s="4"/>
      <c r="F205" s="4"/>
      <c r="G205" s="4"/>
      <c r="H205" s="4"/>
      <c r="I205" s="5"/>
      <c r="J205" s="5"/>
      <c r="K205" s="5"/>
      <c r="L205" s="5"/>
      <c r="M205" s="5"/>
      <c r="N205" s="5"/>
      <c r="O205" s="2">
        <f t="shared" si="69"/>
        <v>0</v>
      </c>
      <c r="P205" s="33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2"/>
      <c r="AJ205" s="2"/>
      <c r="AK205" s="2"/>
      <c r="AL205" s="2"/>
      <c r="AM205" s="5"/>
      <c r="AN205" s="5"/>
      <c r="AO205" s="2">
        <f aca="true" t="shared" si="81" ref="AO205:AP213">Q205+S205+U205+W205+Y205+AA205+AC205+AE205+AG205+AI205+AK205+AM205</f>
        <v>0</v>
      </c>
      <c r="AP205" s="2">
        <f t="shared" si="81"/>
        <v>0</v>
      </c>
      <c r="AQ205" s="5"/>
      <c r="AR205" s="5"/>
      <c r="AS205" s="2">
        <f t="shared" si="70"/>
        <v>0</v>
      </c>
      <c r="AT205" s="5"/>
      <c r="AU205" s="5"/>
      <c r="AV205" s="5"/>
      <c r="AW205" s="5"/>
      <c r="AX205" s="5"/>
      <c r="AY205" s="5"/>
      <c r="AZ205" s="5"/>
      <c r="BA205" s="5"/>
      <c r="BB205" s="5"/>
      <c r="BC205" s="70">
        <f t="shared" si="68"/>
        <v>0</v>
      </c>
      <c r="BD205" s="70">
        <f t="shared" si="68"/>
        <v>0</v>
      </c>
      <c r="BE205" s="5"/>
      <c r="BF205" s="5"/>
      <c r="BG205" s="5"/>
      <c r="BH205" s="5"/>
      <c r="BI205" s="5"/>
      <c r="BJ205" s="5"/>
      <c r="BK205" s="26">
        <f aca="true" t="shared" si="82" ref="BK205:BL221">AW205+AY205+BA205+BC205+BE205+BG205+BI205</f>
        <v>0</v>
      </c>
      <c r="BL205" s="26">
        <f t="shared" si="82"/>
        <v>0</v>
      </c>
      <c r="BM205" s="5"/>
      <c r="BN205" s="29">
        <f t="shared" si="67"/>
        <v>0</v>
      </c>
      <c r="BO205" s="5"/>
      <c r="BP205" s="5"/>
    </row>
    <row r="206" spans="2:66" ht="12.75">
      <c r="B206" s="59" t="s">
        <v>348</v>
      </c>
      <c r="C206" s="5" t="s">
        <v>2</v>
      </c>
      <c r="O206" s="2">
        <f t="shared" si="69"/>
        <v>0</v>
      </c>
      <c r="AO206" s="2">
        <f t="shared" si="81"/>
        <v>0</v>
      </c>
      <c r="AP206" s="2">
        <f t="shared" si="81"/>
        <v>0</v>
      </c>
      <c r="AS206" s="2">
        <f t="shared" si="70"/>
        <v>0</v>
      </c>
      <c r="BC206" s="70">
        <f t="shared" si="68"/>
        <v>0</v>
      </c>
      <c r="BD206" s="70">
        <f t="shared" si="68"/>
        <v>0</v>
      </c>
      <c r="BK206" s="26">
        <f t="shared" si="82"/>
        <v>0</v>
      </c>
      <c r="BL206" s="26">
        <f t="shared" si="82"/>
        <v>0</v>
      </c>
      <c r="BN206" s="29">
        <f t="shared" si="67"/>
        <v>0</v>
      </c>
    </row>
    <row r="207" spans="2:66" ht="12.75">
      <c r="B207" s="59" t="s">
        <v>359</v>
      </c>
      <c r="C207" s="5" t="s">
        <v>2</v>
      </c>
      <c r="D207">
        <v>35</v>
      </c>
      <c r="J207">
        <f>35*567</f>
        <v>19845</v>
      </c>
      <c r="O207" s="2">
        <f t="shared" si="69"/>
        <v>19845</v>
      </c>
      <c r="AA207">
        <v>35</v>
      </c>
      <c r="AB207">
        <f>AA207*567</f>
        <v>19845</v>
      </c>
      <c r="AO207" s="2">
        <f t="shared" si="81"/>
        <v>35</v>
      </c>
      <c r="AP207" s="2">
        <f t="shared" si="81"/>
        <v>19845</v>
      </c>
      <c r="AS207" s="2">
        <f t="shared" si="70"/>
        <v>0</v>
      </c>
      <c r="BC207" s="70">
        <f t="shared" si="68"/>
        <v>35</v>
      </c>
      <c r="BD207" s="70">
        <f t="shared" si="68"/>
        <v>19845</v>
      </c>
      <c r="BK207" s="26">
        <f t="shared" si="82"/>
        <v>35</v>
      </c>
      <c r="BL207" s="26">
        <f t="shared" si="82"/>
        <v>19845</v>
      </c>
      <c r="BN207" s="29">
        <f t="shared" si="67"/>
        <v>0</v>
      </c>
    </row>
    <row r="208" spans="2:66" ht="12.75">
      <c r="B208" s="59" t="s">
        <v>362</v>
      </c>
      <c r="C208" s="5" t="s">
        <v>2</v>
      </c>
      <c r="D208">
        <v>1</v>
      </c>
      <c r="J208" s="18">
        <v>4243</v>
      </c>
      <c r="O208" s="2">
        <f t="shared" si="69"/>
        <v>4243</v>
      </c>
      <c r="AA208">
        <v>1</v>
      </c>
      <c r="AB208">
        <f>AA208*4243</f>
        <v>4243</v>
      </c>
      <c r="AO208" s="2">
        <f t="shared" si="81"/>
        <v>1</v>
      </c>
      <c r="AP208" s="2">
        <f t="shared" si="81"/>
        <v>4243</v>
      </c>
      <c r="AS208" s="2">
        <f t="shared" si="70"/>
        <v>0</v>
      </c>
      <c r="BC208" s="70">
        <f t="shared" si="68"/>
        <v>1</v>
      </c>
      <c r="BD208" s="70">
        <f t="shared" si="68"/>
        <v>4243</v>
      </c>
      <c r="BK208" s="26">
        <f t="shared" si="82"/>
        <v>1</v>
      </c>
      <c r="BL208" s="26">
        <f t="shared" si="82"/>
        <v>4243</v>
      </c>
      <c r="BN208" s="29">
        <f t="shared" si="67"/>
        <v>0</v>
      </c>
    </row>
    <row r="209" spans="2:66" ht="12.75">
      <c r="B209" s="59" t="s">
        <v>363</v>
      </c>
      <c r="C209" s="5" t="s">
        <v>2</v>
      </c>
      <c r="D209">
        <v>1</v>
      </c>
      <c r="J209">
        <f>5000-5000</f>
        <v>0</v>
      </c>
      <c r="O209" s="2">
        <f t="shared" si="69"/>
        <v>0</v>
      </c>
      <c r="AO209" s="2">
        <f t="shared" si="81"/>
        <v>0</v>
      </c>
      <c r="AP209" s="2">
        <f t="shared" si="81"/>
        <v>0</v>
      </c>
      <c r="AS209" s="2">
        <f t="shared" si="70"/>
        <v>0</v>
      </c>
      <c r="BC209" s="70">
        <f t="shared" si="68"/>
        <v>0</v>
      </c>
      <c r="BD209" s="70">
        <f t="shared" si="68"/>
        <v>0</v>
      </c>
      <c r="BK209" s="26">
        <f t="shared" si="82"/>
        <v>0</v>
      </c>
      <c r="BL209" s="26">
        <f t="shared" si="82"/>
        <v>0</v>
      </c>
      <c r="BN209" s="29">
        <f t="shared" si="67"/>
        <v>0</v>
      </c>
    </row>
    <row r="210" spans="2:66" ht="12.75">
      <c r="B210" s="59" t="s">
        <v>397</v>
      </c>
      <c r="C210" s="5" t="s">
        <v>2</v>
      </c>
      <c r="J210">
        <v>17476</v>
      </c>
      <c r="O210" s="2">
        <f t="shared" si="69"/>
        <v>17476</v>
      </c>
      <c r="AE210">
        <v>8</v>
      </c>
      <c r="AF210">
        <v>17486</v>
      </c>
      <c r="AO210" s="2">
        <f t="shared" si="81"/>
        <v>8</v>
      </c>
      <c r="AP210" s="2">
        <f t="shared" si="81"/>
        <v>17486</v>
      </c>
      <c r="AS210" s="2">
        <f t="shared" si="70"/>
        <v>-10</v>
      </c>
      <c r="BC210" s="70">
        <f t="shared" si="68"/>
        <v>8</v>
      </c>
      <c r="BD210" s="70">
        <f t="shared" si="68"/>
        <v>17486</v>
      </c>
      <c r="BK210" s="26">
        <f t="shared" si="82"/>
        <v>8</v>
      </c>
      <c r="BL210" s="26">
        <f t="shared" si="82"/>
        <v>17486</v>
      </c>
      <c r="BN210" s="29">
        <f t="shared" si="67"/>
        <v>0</v>
      </c>
    </row>
    <row r="211" spans="2:76" ht="12.75">
      <c r="B211" s="60" t="s">
        <v>274</v>
      </c>
      <c r="C211" s="33" t="s">
        <v>2</v>
      </c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26">
        <f t="shared" si="69"/>
        <v>0</v>
      </c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26">
        <f t="shared" si="81"/>
        <v>0</v>
      </c>
      <c r="AP211" s="26">
        <f t="shared" si="81"/>
        <v>0</v>
      </c>
      <c r="AQ211" s="19"/>
      <c r="AR211" s="19"/>
      <c r="AS211" s="26">
        <f t="shared" si="70"/>
        <v>0</v>
      </c>
      <c r="AT211" s="19"/>
      <c r="AU211" s="19"/>
      <c r="AV211" s="19"/>
      <c r="AW211" s="19"/>
      <c r="AX211" s="19"/>
      <c r="AY211" s="19"/>
      <c r="AZ211" s="19"/>
      <c r="BA211" s="19"/>
      <c r="BB211" s="19"/>
      <c r="BC211" s="70">
        <f t="shared" si="68"/>
        <v>0</v>
      </c>
      <c r="BD211" s="70">
        <f t="shared" si="68"/>
        <v>0</v>
      </c>
      <c r="BE211" s="19"/>
      <c r="BF211" s="19"/>
      <c r="BG211" s="19"/>
      <c r="BH211" s="19"/>
      <c r="BI211" s="19"/>
      <c r="BJ211" s="19"/>
      <c r="BK211" s="26">
        <f t="shared" si="82"/>
        <v>0</v>
      </c>
      <c r="BL211" s="26">
        <f t="shared" si="82"/>
        <v>0</v>
      </c>
      <c r="BM211" s="19"/>
      <c r="BN211" s="29">
        <f t="shared" si="67"/>
        <v>0</v>
      </c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</row>
    <row r="212" spans="2:76" ht="12.75">
      <c r="B212" s="60" t="s">
        <v>249</v>
      </c>
      <c r="C212" s="33" t="s">
        <v>2</v>
      </c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26">
        <f t="shared" si="69"/>
        <v>0</v>
      </c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26">
        <f t="shared" si="81"/>
        <v>0</v>
      </c>
      <c r="AP212" s="26">
        <f t="shared" si="81"/>
        <v>0</v>
      </c>
      <c r="AQ212" s="19"/>
      <c r="AR212" s="19"/>
      <c r="AS212" s="26">
        <f t="shared" si="70"/>
        <v>0</v>
      </c>
      <c r="AT212" s="19"/>
      <c r="AU212" s="19"/>
      <c r="AV212" s="19"/>
      <c r="AW212" s="19"/>
      <c r="AX212" s="19"/>
      <c r="AY212" s="19"/>
      <c r="AZ212" s="19"/>
      <c r="BA212" s="19"/>
      <c r="BB212" s="19"/>
      <c r="BC212" s="70">
        <f t="shared" si="68"/>
        <v>0</v>
      </c>
      <c r="BD212" s="70">
        <f t="shared" si="68"/>
        <v>0</v>
      </c>
      <c r="BE212" s="19"/>
      <c r="BF212" s="19"/>
      <c r="BG212" s="19"/>
      <c r="BH212" s="19"/>
      <c r="BI212" s="19"/>
      <c r="BJ212" s="19"/>
      <c r="BK212" s="26">
        <f t="shared" si="82"/>
        <v>0</v>
      </c>
      <c r="BL212" s="26">
        <f t="shared" si="82"/>
        <v>0</v>
      </c>
      <c r="BM212" s="19"/>
      <c r="BN212" s="29">
        <f t="shared" si="67"/>
        <v>0</v>
      </c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</row>
    <row r="213" spans="2:76" ht="12.75">
      <c r="B213" s="59" t="s">
        <v>275</v>
      </c>
      <c r="C213" s="33" t="s">
        <v>2</v>
      </c>
      <c r="D213" s="19"/>
      <c r="E213" s="19"/>
      <c r="F213" s="19"/>
      <c r="G213" s="19"/>
      <c r="H213" s="19"/>
      <c r="J213" s="19"/>
      <c r="K213" s="19"/>
      <c r="L213" s="19"/>
      <c r="M213" s="19"/>
      <c r="N213" s="19"/>
      <c r="O213" s="26">
        <f t="shared" si="69"/>
        <v>0</v>
      </c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26">
        <f t="shared" si="81"/>
        <v>0</v>
      </c>
      <c r="AP213" s="26">
        <f t="shared" si="81"/>
        <v>0</v>
      </c>
      <c r="AQ213" s="19"/>
      <c r="AR213" s="19"/>
      <c r="AS213" s="26">
        <f t="shared" si="70"/>
        <v>0</v>
      </c>
      <c r="AT213" s="19"/>
      <c r="AU213" s="19"/>
      <c r="AV213" s="19"/>
      <c r="AW213" s="19"/>
      <c r="AX213" s="19"/>
      <c r="AY213" s="19"/>
      <c r="AZ213" s="19"/>
      <c r="BA213" s="19"/>
      <c r="BB213" s="19"/>
      <c r="BC213" s="70">
        <f t="shared" si="68"/>
        <v>0</v>
      </c>
      <c r="BD213" s="70">
        <f t="shared" si="68"/>
        <v>0</v>
      </c>
      <c r="BE213" s="19"/>
      <c r="BF213" s="19"/>
      <c r="BG213" s="19"/>
      <c r="BH213" s="19"/>
      <c r="BI213" s="19"/>
      <c r="BJ213" s="19"/>
      <c r="BK213" s="26">
        <f t="shared" si="82"/>
        <v>0</v>
      </c>
      <c r="BL213" s="26">
        <f t="shared" si="82"/>
        <v>0</v>
      </c>
      <c r="BM213" s="19"/>
      <c r="BN213" s="29">
        <f aca="true" t="shared" si="83" ref="BN213:BN269">BL213-AP213</f>
        <v>0</v>
      </c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</row>
    <row r="214" spans="2:76" ht="12.75">
      <c r="B214" s="59" t="s">
        <v>316</v>
      </c>
      <c r="C214" s="5" t="s">
        <v>2</v>
      </c>
      <c r="D214">
        <v>1</v>
      </c>
      <c r="H214">
        <v>2500</v>
      </c>
      <c r="J214">
        <v>-500</v>
      </c>
      <c r="O214" s="2">
        <f t="shared" si="69"/>
        <v>2000</v>
      </c>
      <c r="U214">
        <v>1</v>
      </c>
      <c r="V214">
        <v>2000</v>
      </c>
      <c r="AO214" s="2">
        <f>Q214+S214+U214+W214+Y214+AA214+AC214+AE214+AG214+AI214+AK214+AM214</f>
        <v>1</v>
      </c>
      <c r="AP214" s="2">
        <f>R214+T214+V214+X214+Z214+AB214+AD214+AF214+AH214+AJ214+AL214+AN214</f>
        <v>2000</v>
      </c>
      <c r="AS214" s="2">
        <f t="shared" si="70"/>
        <v>0</v>
      </c>
      <c r="BC214" s="70">
        <f t="shared" si="68"/>
        <v>1</v>
      </c>
      <c r="BD214" s="70">
        <f t="shared" si="68"/>
        <v>2000</v>
      </c>
      <c r="BK214" s="26">
        <f t="shared" si="82"/>
        <v>1</v>
      </c>
      <c r="BL214" s="26">
        <f t="shared" si="82"/>
        <v>2000</v>
      </c>
      <c r="BN214" s="29">
        <f t="shared" si="83"/>
        <v>0</v>
      </c>
      <c r="BQ214" s="19"/>
      <c r="BR214" s="19"/>
      <c r="BS214" s="19"/>
      <c r="BT214" s="19"/>
      <c r="BU214" s="19"/>
      <c r="BV214" s="19"/>
      <c r="BW214" s="19"/>
      <c r="BX214" s="19"/>
    </row>
    <row r="215" spans="2:66" ht="12.75">
      <c r="B215" s="59" t="s">
        <v>317</v>
      </c>
      <c r="C215" s="5" t="s">
        <v>2</v>
      </c>
      <c r="D215" s="19"/>
      <c r="O215" s="2">
        <f t="shared" si="69"/>
        <v>0</v>
      </c>
      <c r="AO215" s="2">
        <f aca="true" t="shared" si="84" ref="AO215:AP221">Q215+S215+U215+W215+Y215+AA215+AC215+AE215+AG215+AI215+AK215+AM215</f>
        <v>0</v>
      </c>
      <c r="AP215" s="2">
        <f t="shared" si="84"/>
        <v>0</v>
      </c>
      <c r="AS215" s="2">
        <f t="shared" si="70"/>
        <v>0</v>
      </c>
      <c r="BC215" s="70">
        <f t="shared" si="68"/>
        <v>0</v>
      </c>
      <c r="BD215" s="70">
        <f t="shared" si="68"/>
        <v>0</v>
      </c>
      <c r="BK215" s="26">
        <f t="shared" si="82"/>
        <v>0</v>
      </c>
      <c r="BL215" s="26">
        <f t="shared" si="82"/>
        <v>0</v>
      </c>
      <c r="BN215" s="29">
        <f t="shared" si="83"/>
        <v>0</v>
      </c>
    </row>
    <row r="216" spans="2:66" ht="12.75">
      <c r="B216" s="60" t="s">
        <v>276</v>
      </c>
      <c r="C216" s="5" t="s">
        <v>2</v>
      </c>
      <c r="O216" s="2">
        <f t="shared" si="69"/>
        <v>0</v>
      </c>
      <c r="AO216" s="2">
        <f t="shared" si="84"/>
        <v>0</v>
      </c>
      <c r="AP216" s="2">
        <f t="shared" si="84"/>
        <v>0</v>
      </c>
      <c r="AS216" s="2">
        <f t="shared" si="70"/>
        <v>0</v>
      </c>
      <c r="BC216" s="70">
        <f t="shared" si="68"/>
        <v>0</v>
      </c>
      <c r="BD216" s="70">
        <f t="shared" si="68"/>
        <v>0</v>
      </c>
      <c r="BK216" s="26">
        <f t="shared" si="82"/>
        <v>0</v>
      </c>
      <c r="BL216" s="26">
        <f t="shared" si="82"/>
        <v>0</v>
      </c>
      <c r="BN216" s="29">
        <f t="shared" si="83"/>
        <v>0</v>
      </c>
    </row>
    <row r="217" spans="2:66" ht="12.75">
      <c r="B217" s="60" t="s">
        <v>285</v>
      </c>
      <c r="C217" s="5" t="s">
        <v>2</v>
      </c>
      <c r="O217" s="2">
        <f t="shared" si="69"/>
        <v>0</v>
      </c>
      <c r="AO217" s="2">
        <f t="shared" si="84"/>
        <v>0</v>
      </c>
      <c r="AP217" s="2">
        <f t="shared" si="84"/>
        <v>0</v>
      </c>
      <c r="AS217" s="2">
        <f t="shared" si="70"/>
        <v>0</v>
      </c>
      <c r="BC217" s="70">
        <f t="shared" si="68"/>
        <v>0</v>
      </c>
      <c r="BD217" s="70">
        <f t="shared" si="68"/>
        <v>0</v>
      </c>
      <c r="BK217" s="26">
        <f t="shared" si="82"/>
        <v>0</v>
      </c>
      <c r="BL217" s="26">
        <f t="shared" si="82"/>
        <v>0</v>
      </c>
      <c r="BN217" s="29">
        <f t="shared" si="83"/>
        <v>0</v>
      </c>
    </row>
    <row r="218" spans="2:76" ht="12.75">
      <c r="B218" s="60" t="s">
        <v>244</v>
      </c>
      <c r="C218" s="33" t="s">
        <v>2</v>
      </c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26">
        <f t="shared" si="69"/>
        <v>0</v>
      </c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26">
        <f t="shared" si="84"/>
        <v>0</v>
      </c>
      <c r="AP218" s="26">
        <f t="shared" si="84"/>
        <v>0</v>
      </c>
      <c r="AQ218" s="19"/>
      <c r="AR218" s="19"/>
      <c r="AS218" s="26">
        <f t="shared" si="70"/>
        <v>0</v>
      </c>
      <c r="AT218" s="19"/>
      <c r="AU218" s="19"/>
      <c r="AV218" s="19"/>
      <c r="AW218" s="19"/>
      <c r="AX218" s="19"/>
      <c r="AY218" s="19"/>
      <c r="AZ218" s="19"/>
      <c r="BA218" s="19"/>
      <c r="BB218" s="19"/>
      <c r="BC218" s="70">
        <f t="shared" si="68"/>
        <v>0</v>
      </c>
      <c r="BD218" s="70">
        <f t="shared" si="68"/>
        <v>0</v>
      </c>
      <c r="BE218" s="19"/>
      <c r="BF218" s="19"/>
      <c r="BG218" s="19"/>
      <c r="BH218" s="19"/>
      <c r="BI218" s="19"/>
      <c r="BJ218" s="19"/>
      <c r="BK218" s="26">
        <f t="shared" si="82"/>
        <v>0</v>
      </c>
      <c r="BL218" s="26">
        <f t="shared" si="82"/>
        <v>0</v>
      </c>
      <c r="BM218" s="19"/>
      <c r="BN218" s="29">
        <f t="shared" si="83"/>
        <v>0</v>
      </c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</row>
    <row r="219" spans="2:66" ht="12.75">
      <c r="B219" s="60" t="s">
        <v>361</v>
      </c>
      <c r="C219" s="5" t="s">
        <v>2</v>
      </c>
      <c r="D219">
        <v>1</v>
      </c>
      <c r="J219" s="19">
        <f>10000-5830-4170</f>
        <v>0</v>
      </c>
      <c r="O219" s="2">
        <f t="shared" si="69"/>
        <v>0</v>
      </c>
      <c r="AO219" s="2">
        <f t="shared" si="84"/>
        <v>0</v>
      </c>
      <c r="AP219" s="2">
        <f t="shared" si="84"/>
        <v>0</v>
      </c>
      <c r="AS219" s="2">
        <f t="shared" si="70"/>
        <v>0</v>
      </c>
      <c r="BC219" s="70">
        <f t="shared" si="68"/>
        <v>0</v>
      </c>
      <c r="BD219" s="70">
        <f t="shared" si="68"/>
        <v>0</v>
      </c>
      <c r="BK219" s="26">
        <f t="shared" si="82"/>
        <v>0</v>
      </c>
      <c r="BL219" s="26">
        <f t="shared" si="82"/>
        <v>0</v>
      </c>
      <c r="BN219" s="29">
        <f t="shared" si="83"/>
        <v>0</v>
      </c>
    </row>
    <row r="220" spans="2:66" ht="38.25">
      <c r="B220" s="60" t="s">
        <v>386</v>
      </c>
      <c r="C220" s="5" t="s">
        <v>2</v>
      </c>
      <c r="O220" s="2">
        <f t="shared" si="69"/>
        <v>0</v>
      </c>
      <c r="AO220" s="2">
        <f t="shared" si="84"/>
        <v>0</v>
      </c>
      <c r="AP220" s="2">
        <f t="shared" si="84"/>
        <v>0</v>
      </c>
      <c r="AS220" s="2">
        <f t="shared" si="70"/>
        <v>0</v>
      </c>
      <c r="BC220" s="70">
        <f t="shared" si="68"/>
        <v>0</v>
      </c>
      <c r="BD220" s="70">
        <f t="shared" si="68"/>
        <v>0</v>
      </c>
      <c r="BK220" s="26">
        <f t="shared" si="82"/>
        <v>0</v>
      </c>
      <c r="BL220" s="26">
        <f t="shared" si="82"/>
        <v>0</v>
      </c>
      <c r="BN220" s="29">
        <f t="shared" si="83"/>
        <v>0</v>
      </c>
    </row>
    <row r="221" spans="1:68" ht="14.25">
      <c r="A221" s="10">
        <v>14</v>
      </c>
      <c r="B221" s="61" t="s">
        <v>15</v>
      </c>
      <c r="C221" s="8"/>
      <c r="D221" s="7"/>
      <c r="E221" s="7"/>
      <c r="F221" s="7"/>
      <c r="G221" s="7"/>
      <c r="H221" s="7"/>
      <c r="I221" s="9"/>
      <c r="J221" s="9"/>
      <c r="K221" s="9"/>
      <c r="L221" s="9"/>
      <c r="M221" s="9"/>
      <c r="N221" s="9"/>
      <c r="O221" s="9">
        <f t="shared" si="69"/>
        <v>0</v>
      </c>
      <c r="P221" s="28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2">
        <f t="shared" si="84"/>
        <v>0</v>
      </c>
      <c r="AP221" s="2">
        <f t="shared" si="84"/>
        <v>0</v>
      </c>
      <c r="AQ221" s="9"/>
      <c r="AR221" s="9"/>
      <c r="AS221" s="9">
        <f t="shared" si="70"/>
        <v>0</v>
      </c>
      <c r="AT221" s="9"/>
      <c r="AU221" s="9"/>
      <c r="AV221" s="9"/>
      <c r="AW221" s="9"/>
      <c r="AX221" s="9"/>
      <c r="AY221" s="9"/>
      <c r="AZ221" s="9"/>
      <c r="BA221" s="9"/>
      <c r="BB221" s="9"/>
      <c r="BC221" s="70">
        <f t="shared" si="68"/>
        <v>0</v>
      </c>
      <c r="BD221" s="70">
        <f t="shared" si="68"/>
        <v>0</v>
      </c>
      <c r="BE221" s="9"/>
      <c r="BF221" s="9"/>
      <c r="BG221" s="9"/>
      <c r="BH221" s="9"/>
      <c r="BI221" s="9"/>
      <c r="BJ221" s="9"/>
      <c r="BK221" s="26">
        <f t="shared" si="82"/>
        <v>0</v>
      </c>
      <c r="BL221" s="26">
        <f t="shared" si="82"/>
        <v>0</v>
      </c>
      <c r="BM221" s="9"/>
      <c r="BN221" s="29">
        <f t="shared" si="83"/>
        <v>0</v>
      </c>
      <c r="BO221" s="9"/>
      <c r="BP221" s="9"/>
    </row>
    <row r="222" spans="1:68" ht="14.25">
      <c r="A222" s="10">
        <v>15</v>
      </c>
      <c r="B222" s="61" t="s">
        <v>16</v>
      </c>
      <c r="C222" s="8"/>
      <c r="D222" s="7"/>
      <c r="E222" s="7">
        <f aca="true" t="shared" si="85" ref="E222:N222">SUM(E223:E236)</f>
        <v>0</v>
      </c>
      <c r="F222" s="7">
        <f t="shared" si="85"/>
        <v>0</v>
      </c>
      <c r="G222" s="7">
        <f t="shared" si="85"/>
        <v>0</v>
      </c>
      <c r="H222" s="7">
        <f t="shared" si="85"/>
        <v>5000</v>
      </c>
      <c r="I222" s="7">
        <f t="shared" si="85"/>
        <v>0</v>
      </c>
      <c r="J222" s="7">
        <f t="shared" si="85"/>
        <v>0</v>
      </c>
      <c r="K222" s="7">
        <f t="shared" si="85"/>
        <v>0</v>
      </c>
      <c r="L222" s="7">
        <f t="shared" si="85"/>
        <v>0</v>
      </c>
      <c r="M222" s="7">
        <f t="shared" si="85"/>
        <v>0</v>
      </c>
      <c r="N222" s="7">
        <f t="shared" si="85"/>
        <v>0</v>
      </c>
      <c r="O222" s="9"/>
      <c r="P222" s="28"/>
      <c r="Q222" s="7">
        <f aca="true" t="shared" si="86" ref="Q222:AO222">SUM(Q223:Q236)</f>
        <v>0</v>
      </c>
      <c r="R222" s="7">
        <f t="shared" si="86"/>
        <v>0</v>
      </c>
      <c r="S222" s="7">
        <f t="shared" si="86"/>
        <v>0</v>
      </c>
      <c r="T222" s="7">
        <f t="shared" si="86"/>
        <v>0</v>
      </c>
      <c r="U222" s="7">
        <f t="shared" si="86"/>
        <v>0</v>
      </c>
      <c r="V222" s="7">
        <f t="shared" si="86"/>
        <v>0</v>
      </c>
      <c r="W222" s="7">
        <f t="shared" si="86"/>
        <v>0</v>
      </c>
      <c r="X222" s="7">
        <f t="shared" si="86"/>
        <v>0</v>
      </c>
      <c r="Y222" s="7">
        <f t="shared" si="86"/>
        <v>0</v>
      </c>
      <c r="Z222" s="7">
        <f t="shared" si="86"/>
        <v>0</v>
      </c>
      <c r="AA222" s="7">
        <f t="shared" si="86"/>
        <v>0</v>
      </c>
      <c r="AB222" s="7">
        <f t="shared" si="86"/>
        <v>0</v>
      </c>
      <c r="AC222" s="7">
        <f t="shared" si="86"/>
        <v>0</v>
      </c>
      <c r="AD222" s="7">
        <f t="shared" si="86"/>
        <v>0</v>
      </c>
      <c r="AE222" s="7">
        <f t="shared" si="86"/>
        <v>0</v>
      </c>
      <c r="AF222" s="7">
        <f t="shared" si="86"/>
        <v>0</v>
      </c>
      <c r="AG222" s="7">
        <f t="shared" si="86"/>
        <v>0</v>
      </c>
      <c r="AH222" s="7">
        <f>SUM(AH223:AH236)</f>
        <v>0</v>
      </c>
      <c r="AI222" s="7">
        <f t="shared" si="86"/>
        <v>0</v>
      </c>
      <c r="AJ222" s="7">
        <f t="shared" si="86"/>
        <v>0</v>
      </c>
      <c r="AK222" s="7">
        <f t="shared" si="86"/>
        <v>1</v>
      </c>
      <c r="AL222" s="7">
        <f t="shared" si="86"/>
        <v>4000</v>
      </c>
      <c r="AM222" s="7">
        <f t="shared" si="86"/>
        <v>0</v>
      </c>
      <c r="AN222" s="7">
        <f t="shared" si="86"/>
        <v>0</v>
      </c>
      <c r="AO222" s="7">
        <f t="shared" si="86"/>
        <v>1</v>
      </c>
      <c r="AP222" s="7">
        <f>SUM(AP223:AP236)</f>
        <v>4000</v>
      </c>
      <c r="AQ222" s="9"/>
      <c r="AR222" s="9"/>
      <c r="AS222" s="7">
        <f>SUM(AS223:AS236)</f>
        <v>1000</v>
      </c>
      <c r="AT222" s="9"/>
      <c r="AU222" s="9"/>
      <c r="AV222" s="9"/>
      <c r="AW222" s="8">
        <f aca="true" t="shared" si="87" ref="AW222:BD222">SUM(AW223:AW236)</f>
        <v>0</v>
      </c>
      <c r="AX222" s="8">
        <f t="shared" si="87"/>
        <v>0</v>
      </c>
      <c r="AY222" s="8">
        <f t="shared" si="87"/>
        <v>0</v>
      </c>
      <c r="AZ222" s="8">
        <f t="shared" si="87"/>
        <v>0</v>
      </c>
      <c r="BA222" s="8">
        <f t="shared" si="87"/>
        <v>0</v>
      </c>
      <c r="BB222" s="8">
        <f t="shared" si="87"/>
        <v>0</v>
      </c>
      <c r="BC222" s="8">
        <f t="shared" si="87"/>
        <v>1</v>
      </c>
      <c r="BD222" s="8">
        <f t="shared" si="87"/>
        <v>4000</v>
      </c>
      <c r="BE222" s="8">
        <f aca="true" t="shared" si="88" ref="BE222:BL222">SUM(BE223:BE236)</f>
        <v>0</v>
      </c>
      <c r="BF222" s="8">
        <f t="shared" si="88"/>
        <v>0</v>
      </c>
      <c r="BG222" s="8">
        <f t="shared" si="88"/>
        <v>0</v>
      </c>
      <c r="BH222" s="8">
        <f t="shared" si="88"/>
        <v>0</v>
      </c>
      <c r="BI222" s="8">
        <f t="shared" si="88"/>
        <v>0</v>
      </c>
      <c r="BJ222" s="8">
        <f t="shared" si="88"/>
        <v>0</v>
      </c>
      <c r="BK222" s="8">
        <f t="shared" si="88"/>
        <v>1</v>
      </c>
      <c r="BL222" s="8">
        <f t="shared" si="88"/>
        <v>4000</v>
      </c>
      <c r="BM222" s="8"/>
      <c r="BN222" s="8">
        <f>SUM(BN223:BN236)</f>
        <v>0</v>
      </c>
      <c r="BO222" s="9"/>
      <c r="BP222" s="9"/>
    </row>
    <row r="223" spans="2:66" ht="12.75">
      <c r="B223" s="40" t="s">
        <v>63</v>
      </c>
      <c r="C223" s="5" t="s">
        <v>2</v>
      </c>
      <c r="D223" s="38">
        <v>4</v>
      </c>
      <c r="H223">
        <f>D223*500</f>
        <v>2000</v>
      </c>
      <c r="I223" s="19"/>
      <c r="J223">
        <v>-1000</v>
      </c>
      <c r="O223" s="2">
        <f t="shared" si="69"/>
        <v>1000</v>
      </c>
      <c r="AO223" s="2">
        <f>Q223+S223+U223+W223+Y223+AA223+AC223+AE223+AG223+AI223+AK223+AM223</f>
        <v>0</v>
      </c>
      <c r="AP223" s="2">
        <f>R223+T223+V223+X223+Z223+AB223+AD223+AF223+AH223+AJ223+AL223+AN223</f>
        <v>0</v>
      </c>
      <c r="AS223" s="2">
        <f t="shared" si="70"/>
        <v>1000</v>
      </c>
      <c r="BC223" s="70">
        <f t="shared" si="68"/>
        <v>0</v>
      </c>
      <c r="BD223" s="70">
        <f t="shared" si="68"/>
        <v>0</v>
      </c>
      <c r="BK223" s="26">
        <f aca="true" t="shared" si="89" ref="BK223:BL236">AW223+AY223+BA223+BC223+BE223+BG223+BI223</f>
        <v>0</v>
      </c>
      <c r="BL223" s="26">
        <f t="shared" si="89"/>
        <v>0</v>
      </c>
      <c r="BN223" s="29">
        <f t="shared" si="83"/>
        <v>0</v>
      </c>
    </row>
    <row r="224" spans="2:66" ht="12.75">
      <c r="B224" s="40" t="s">
        <v>439</v>
      </c>
      <c r="C224" s="5"/>
      <c r="I224" s="19"/>
      <c r="J224">
        <f>D224*1500</f>
        <v>0</v>
      </c>
      <c r="O224" s="2">
        <f t="shared" si="69"/>
        <v>0</v>
      </c>
      <c r="AO224" s="2">
        <f>Q224+S224+U224+W224+Y224+AA224+AC224+AE224+AG224+AI224+AK224+AM224</f>
        <v>0</v>
      </c>
      <c r="AP224" s="2">
        <f>R224+T224+V224+X224+Z224+AB224+AD224+AF224+AH224+AJ224+AL224+AN224</f>
        <v>0</v>
      </c>
      <c r="AS224" s="2">
        <f t="shared" si="70"/>
        <v>0</v>
      </c>
      <c r="BC224" s="70">
        <f t="shared" si="68"/>
        <v>0</v>
      </c>
      <c r="BD224" s="70">
        <f t="shared" si="68"/>
        <v>0</v>
      </c>
      <c r="BK224" s="26">
        <f t="shared" si="89"/>
        <v>0</v>
      </c>
      <c r="BL224" s="26">
        <f t="shared" si="89"/>
        <v>0</v>
      </c>
      <c r="BN224" s="29">
        <f t="shared" si="83"/>
        <v>0</v>
      </c>
    </row>
    <row r="225" spans="2:66" ht="12.75">
      <c r="B225" s="40" t="s">
        <v>64</v>
      </c>
      <c r="C225" s="5" t="s">
        <v>2</v>
      </c>
      <c r="D225" s="38"/>
      <c r="H225">
        <f>D225*20</f>
        <v>0</v>
      </c>
      <c r="I225" s="19"/>
      <c r="O225" s="2">
        <f t="shared" si="69"/>
        <v>0</v>
      </c>
      <c r="AO225" s="2">
        <f aca="true" t="shared" si="90" ref="AO225:AP236">Q225+S225+U225+W225+Y225+AA225+AC225+AE225+AG225+AI225+AK225+AM225</f>
        <v>0</v>
      </c>
      <c r="AP225" s="2">
        <f t="shared" si="90"/>
        <v>0</v>
      </c>
      <c r="AS225" s="2">
        <f t="shared" si="70"/>
        <v>0</v>
      </c>
      <c r="BC225" s="70">
        <f t="shared" si="68"/>
        <v>0</v>
      </c>
      <c r="BD225" s="70">
        <f t="shared" si="68"/>
        <v>0</v>
      </c>
      <c r="BK225" s="26">
        <f t="shared" si="89"/>
        <v>0</v>
      </c>
      <c r="BL225" s="26">
        <f t="shared" si="89"/>
        <v>0</v>
      </c>
      <c r="BN225" s="29">
        <f t="shared" si="83"/>
        <v>0</v>
      </c>
    </row>
    <row r="226" spans="2:66" ht="12.75">
      <c r="B226" s="40" t="s">
        <v>440</v>
      </c>
      <c r="C226" s="5" t="s">
        <v>2</v>
      </c>
      <c r="O226" s="2">
        <f t="shared" si="69"/>
        <v>0</v>
      </c>
      <c r="AO226" s="2">
        <f t="shared" si="90"/>
        <v>0</v>
      </c>
      <c r="AP226" s="2">
        <f t="shared" si="90"/>
        <v>0</v>
      </c>
      <c r="AS226" s="2">
        <f t="shared" si="70"/>
        <v>0</v>
      </c>
      <c r="BC226" s="70">
        <f t="shared" si="68"/>
        <v>0</v>
      </c>
      <c r="BD226" s="70">
        <f t="shared" si="68"/>
        <v>0</v>
      </c>
      <c r="BK226" s="26">
        <f t="shared" si="89"/>
        <v>0</v>
      </c>
      <c r="BL226" s="26">
        <f t="shared" si="89"/>
        <v>0</v>
      </c>
      <c r="BN226" s="29">
        <f t="shared" si="83"/>
        <v>0</v>
      </c>
    </row>
    <row r="227" spans="2:66" ht="12.75">
      <c r="B227" s="40" t="s">
        <v>441</v>
      </c>
      <c r="C227" s="5" t="s">
        <v>2</v>
      </c>
      <c r="O227" s="2">
        <f t="shared" si="69"/>
        <v>0</v>
      </c>
      <c r="AO227" s="2">
        <f t="shared" si="90"/>
        <v>0</v>
      </c>
      <c r="AP227" s="2">
        <f t="shared" si="90"/>
        <v>0</v>
      </c>
      <c r="AS227" s="2">
        <f t="shared" si="70"/>
        <v>0</v>
      </c>
      <c r="BC227" s="70">
        <f t="shared" si="68"/>
        <v>0</v>
      </c>
      <c r="BD227" s="70">
        <f t="shared" si="68"/>
        <v>0</v>
      </c>
      <c r="BK227" s="26">
        <f t="shared" si="89"/>
        <v>0</v>
      </c>
      <c r="BL227" s="26">
        <f t="shared" si="89"/>
        <v>0</v>
      </c>
      <c r="BN227" s="29">
        <f t="shared" si="83"/>
        <v>0</v>
      </c>
    </row>
    <row r="228" spans="2:66" ht="12.75">
      <c r="B228" s="40" t="s">
        <v>443</v>
      </c>
      <c r="C228" s="5" t="s">
        <v>2</v>
      </c>
      <c r="D228" s="38"/>
      <c r="H228">
        <f>D228*800</f>
        <v>0</v>
      </c>
      <c r="O228" s="2">
        <f t="shared" si="69"/>
        <v>0</v>
      </c>
      <c r="AO228" s="2">
        <f t="shared" si="90"/>
        <v>0</v>
      </c>
      <c r="AP228" s="2">
        <f t="shared" si="90"/>
        <v>0</v>
      </c>
      <c r="AS228" s="2">
        <f t="shared" si="70"/>
        <v>0</v>
      </c>
      <c r="BC228" s="70">
        <f t="shared" si="68"/>
        <v>0</v>
      </c>
      <c r="BD228" s="70">
        <f t="shared" si="68"/>
        <v>0</v>
      </c>
      <c r="BK228" s="26">
        <f t="shared" si="89"/>
        <v>0</v>
      </c>
      <c r="BL228" s="26">
        <f t="shared" si="89"/>
        <v>0</v>
      </c>
      <c r="BN228" s="29">
        <f t="shared" si="83"/>
        <v>0</v>
      </c>
    </row>
    <row r="229" spans="2:66" ht="12.75">
      <c r="B229" s="40" t="s">
        <v>442</v>
      </c>
      <c r="C229" s="5" t="s">
        <v>2</v>
      </c>
      <c r="O229" s="2">
        <f t="shared" si="69"/>
        <v>0</v>
      </c>
      <c r="AO229" s="2">
        <f t="shared" si="90"/>
        <v>0</v>
      </c>
      <c r="AP229" s="2">
        <f t="shared" si="90"/>
        <v>0</v>
      </c>
      <c r="AS229" s="2">
        <f t="shared" si="70"/>
        <v>0</v>
      </c>
      <c r="BC229" s="70">
        <f aca="true" t="shared" si="91" ref="BC229:BD269">AO229</f>
        <v>0</v>
      </c>
      <c r="BD229" s="70">
        <f t="shared" si="91"/>
        <v>0</v>
      </c>
      <c r="BK229" s="26">
        <f t="shared" si="89"/>
        <v>0</v>
      </c>
      <c r="BL229" s="26">
        <f t="shared" si="89"/>
        <v>0</v>
      </c>
      <c r="BN229" s="29">
        <f t="shared" si="83"/>
        <v>0</v>
      </c>
    </row>
    <row r="230" spans="2:66" ht="12.75">
      <c r="B230" s="40" t="s">
        <v>444</v>
      </c>
      <c r="C230" s="5" t="s">
        <v>2</v>
      </c>
      <c r="O230" s="2">
        <f t="shared" si="69"/>
        <v>0</v>
      </c>
      <c r="AO230" s="2">
        <f t="shared" si="90"/>
        <v>0</v>
      </c>
      <c r="AP230" s="2">
        <f t="shared" si="90"/>
        <v>0</v>
      </c>
      <c r="AS230" s="2">
        <f t="shared" si="70"/>
        <v>0</v>
      </c>
      <c r="BC230" s="70">
        <f t="shared" si="91"/>
        <v>0</v>
      </c>
      <c r="BD230" s="70">
        <f t="shared" si="91"/>
        <v>0</v>
      </c>
      <c r="BK230" s="26">
        <f t="shared" si="89"/>
        <v>0</v>
      </c>
      <c r="BL230" s="26">
        <f t="shared" si="89"/>
        <v>0</v>
      </c>
      <c r="BN230" s="29">
        <f t="shared" si="83"/>
        <v>0</v>
      </c>
    </row>
    <row r="231" spans="2:66" ht="12.75">
      <c r="B231" s="40" t="s">
        <v>162</v>
      </c>
      <c r="C231" s="5" t="s">
        <v>2</v>
      </c>
      <c r="D231" s="38"/>
      <c r="H231">
        <f>D231*500</f>
        <v>0</v>
      </c>
      <c r="O231" s="2">
        <f t="shared" si="69"/>
        <v>0</v>
      </c>
      <c r="AO231" s="2">
        <f t="shared" si="90"/>
        <v>0</v>
      </c>
      <c r="AP231" s="2">
        <f t="shared" si="90"/>
        <v>0</v>
      </c>
      <c r="AS231" s="2">
        <f t="shared" si="70"/>
        <v>0</v>
      </c>
      <c r="BC231" s="70">
        <f t="shared" si="91"/>
        <v>0</v>
      </c>
      <c r="BD231" s="70">
        <f t="shared" si="91"/>
        <v>0</v>
      </c>
      <c r="BK231" s="26">
        <f t="shared" si="89"/>
        <v>0</v>
      </c>
      <c r="BL231" s="26">
        <f t="shared" si="89"/>
        <v>0</v>
      </c>
      <c r="BN231" s="29">
        <f t="shared" si="83"/>
        <v>0</v>
      </c>
    </row>
    <row r="232" spans="2:66" ht="12.75">
      <c r="B232" s="40" t="s">
        <v>297</v>
      </c>
      <c r="C232" s="5" t="s">
        <v>2</v>
      </c>
      <c r="O232" s="2">
        <f t="shared" si="69"/>
        <v>0</v>
      </c>
      <c r="AO232" s="2">
        <f t="shared" si="90"/>
        <v>0</v>
      </c>
      <c r="AP232" s="2">
        <f t="shared" si="90"/>
        <v>0</v>
      </c>
      <c r="AS232" s="2">
        <f t="shared" si="70"/>
        <v>0</v>
      </c>
      <c r="BC232" s="70">
        <f t="shared" si="91"/>
        <v>0</v>
      </c>
      <c r="BD232" s="70">
        <f t="shared" si="91"/>
        <v>0</v>
      </c>
      <c r="BK232" s="26">
        <f t="shared" si="89"/>
        <v>0</v>
      </c>
      <c r="BL232" s="26">
        <f t="shared" si="89"/>
        <v>0</v>
      </c>
      <c r="BN232" s="29">
        <f t="shared" si="83"/>
        <v>0</v>
      </c>
    </row>
    <row r="233" spans="2:66" ht="12.75">
      <c r="B233" s="40" t="s">
        <v>294</v>
      </c>
      <c r="C233" s="5" t="s">
        <v>2</v>
      </c>
      <c r="O233" s="2">
        <f t="shared" si="69"/>
        <v>0</v>
      </c>
      <c r="AO233" s="2">
        <f t="shared" si="90"/>
        <v>0</v>
      </c>
      <c r="AP233" s="2">
        <f t="shared" si="90"/>
        <v>0</v>
      </c>
      <c r="AS233" s="2">
        <f t="shared" si="70"/>
        <v>0</v>
      </c>
      <c r="BC233" s="70">
        <f t="shared" si="91"/>
        <v>0</v>
      </c>
      <c r="BD233" s="70">
        <f t="shared" si="91"/>
        <v>0</v>
      </c>
      <c r="BK233" s="26">
        <f t="shared" si="89"/>
        <v>0</v>
      </c>
      <c r="BL233" s="26">
        <f t="shared" si="89"/>
        <v>0</v>
      </c>
      <c r="BN233" s="29">
        <f t="shared" si="83"/>
        <v>0</v>
      </c>
    </row>
    <row r="234" spans="2:66" ht="12.75">
      <c r="B234" s="40" t="s">
        <v>266</v>
      </c>
      <c r="C234" s="5" t="s">
        <v>2</v>
      </c>
      <c r="D234" s="38">
        <v>1</v>
      </c>
      <c r="H234">
        <f>D234*3000</f>
        <v>3000</v>
      </c>
      <c r="J234">
        <v>1000</v>
      </c>
      <c r="O234" s="2">
        <f t="shared" si="69"/>
        <v>4000</v>
      </c>
      <c r="AK234">
        <v>1</v>
      </c>
      <c r="AL234">
        <v>4000</v>
      </c>
      <c r="AO234" s="2">
        <f t="shared" si="90"/>
        <v>1</v>
      </c>
      <c r="AP234" s="2">
        <f t="shared" si="90"/>
        <v>4000</v>
      </c>
      <c r="AS234" s="2">
        <f t="shared" si="70"/>
        <v>0</v>
      </c>
      <c r="BC234" s="70">
        <f t="shared" si="91"/>
        <v>1</v>
      </c>
      <c r="BD234" s="70">
        <f t="shared" si="91"/>
        <v>4000</v>
      </c>
      <c r="BK234" s="26">
        <f t="shared" si="89"/>
        <v>1</v>
      </c>
      <c r="BL234" s="26">
        <f t="shared" si="89"/>
        <v>4000</v>
      </c>
      <c r="BN234" s="29">
        <f t="shared" si="83"/>
        <v>0</v>
      </c>
    </row>
    <row r="235" spans="2:66" ht="12.75">
      <c r="B235" s="40" t="s">
        <v>296</v>
      </c>
      <c r="C235" s="5"/>
      <c r="O235" s="2">
        <f aca="true" t="shared" si="92" ref="O235:O269">SUM(E235:N235)</f>
        <v>0</v>
      </c>
      <c r="AO235" s="2">
        <f t="shared" si="90"/>
        <v>0</v>
      </c>
      <c r="AP235" s="2">
        <f t="shared" si="90"/>
        <v>0</v>
      </c>
      <c r="AS235" s="2">
        <f t="shared" si="70"/>
        <v>0</v>
      </c>
      <c r="BC235" s="70">
        <f t="shared" si="91"/>
        <v>0</v>
      </c>
      <c r="BD235" s="70">
        <f t="shared" si="91"/>
        <v>0</v>
      </c>
      <c r="BK235" s="26">
        <f t="shared" si="89"/>
        <v>0</v>
      </c>
      <c r="BL235" s="26">
        <f t="shared" si="89"/>
        <v>0</v>
      </c>
      <c r="BN235" s="29">
        <f t="shared" si="83"/>
        <v>0</v>
      </c>
    </row>
    <row r="236" spans="1:76" s="19" customFormat="1" ht="12.75">
      <c r="A236"/>
      <c r="B236" s="40"/>
      <c r="C236" s="5" t="s">
        <v>2</v>
      </c>
      <c r="D236"/>
      <c r="E236"/>
      <c r="F236"/>
      <c r="G236"/>
      <c r="H236"/>
      <c r="I236"/>
      <c r="J236"/>
      <c r="K236"/>
      <c r="L236"/>
      <c r="M236"/>
      <c r="N236"/>
      <c r="O236" s="2">
        <f t="shared" si="92"/>
        <v>0</v>
      </c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 s="2">
        <f t="shared" si="90"/>
        <v>0</v>
      </c>
      <c r="AP236" s="2">
        <f t="shared" si="90"/>
        <v>0</v>
      </c>
      <c r="AQ236"/>
      <c r="AR236"/>
      <c r="AS236" s="2">
        <f t="shared" si="70"/>
        <v>0</v>
      </c>
      <c r="AT236"/>
      <c r="AU236"/>
      <c r="AV236"/>
      <c r="AW236"/>
      <c r="AX236"/>
      <c r="AY236"/>
      <c r="AZ236"/>
      <c r="BA236"/>
      <c r="BB236"/>
      <c r="BC236" s="70">
        <f t="shared" si="91"/>
        <v>0</v>
      </c>
      <c r="BD236" s="70">
        <f t="shared" si="91"/>
        <v>0</v>
      </c>
      <c r="BE236"/>
      <c r="BF236"/>
      <c r="BG236"/>
      <c r="BH236"/>
      <c r="BI236"/>
      <c r="BJ236"/>
      <c r="BK236" s="26">
        <f t="shared" si="89"/>
        <v>0</v>
      </c>
      <c r="BL236" s="26">
        <f t="shared" si="89"/>
        <v>0</v>
      </c>
      <c r="BM236"/>
      <c r="BN236" s="29">
        <f t="shared" si="83"/>
        <v>0</v>
      </c>
      <c r="BO236"/>
      <c r="BP236"/>
      <c r="BQ236"/>
      <c r="BR236"/>
      <c r="BS236"/>
      <c r="BT236"/>
      <c r="BU236"/>
      <c r="BV236"/>
      <c r="BW236"/>
      <c r="BX236"/>
    </row>
    <row r="237" spans="1:68" s="19" customFormat="1" ht="14.25">
      <c r="A237" s="10">
        <v>16</v>
      </c>
      <c r="B237" s="61" t="s">
        <v>17</v>
      </c>
      <c r="C237" s="8"/>
      <c r="D237" s="7"/>
      <c r="E237" s="7">
        <f aca="true" t="shared" si="93" ref="E237:N237">SUM(E238:E261)</f>
        <v>0</v>
      </c>
      <c r="F237" s="7">
        <f t="shared" si="93"/>
        <v>0</v>
      </c>
      <c r="G237" s="7">
        <f t="shared" si="93"/>
        <v>0</v>
      </c>
      <c r="H237" s="7">
        <f t="shared" si="93"/>
        <v>900</v>
      </c>
      <c r="I237" s="7">
        <f t="shared" si="93"/>
        <v>0</v>
      </c>
      <c r="J237" s="7">
        <f t="shared" si="93"/>
        <v>0</v>
      </c>
      <c r="K237" s="7">
        <f t="shared" si="93"/>
        <v>102785</v>
      </c>
      <c r="L237" s="7">
        <f t="shared" si="93"/>
        <v>0</v>
      </c>
      <c r="M237" s="7">
        <f t="shared" si="93"/>
        <v>0</v>
      </c>
      <c r="N237" s="7">
        <f t="shared" si="93"/>
        <v>0</v>
      </c>
      <c r="O237" s="9"/>
      <c r="P237" s="28"/>
      <c r="Q237" s="7">
        <f aca="true" t="shared" si="94" ref="Q237:AO237">SUM(Q238:Q261)</f>
        <v>0</v>
      </c>
      <c r="R237" s="7">
        <f t="shared" si="94"/>
        <v>0</v>
      </c>
      <c r="S237" s="7">
        <f t="shared" si="94"/>
        <v>0</v>
      </c>
      <c r="T237" s="7">
        <f t="shared" si="94"/>
        <v>0</v>
      </c>
      <c r="U237" s="7">
        <f t="shared" si="94"/>
        <v>0</v>
      </c>
      <c r="V237" s="7">
        <f t="shared" si="94"/>
        <v>0</v>
      </c>
      <c r="W237" s="7">
        <f t="shared" si="94"/>
        <v>0</v>
      </c>
      <c r="X237" s="7">
        <f t="shared" si="94"/>
        <v>0</v>
      </c>
      <c r="Y237" s="7">
        <f t="shared" si="94"/>
        <v>0</v>
      </c>
      <c r="Z237" s="7">
        <f t="shared" si="94"/>
        <v>0</v>
      </c>
      <c r="AA237" s="7">
        <f t="shared" si="94"/>
        <v>5</v>
      </c>
      <c r="AB237" s="7">
        <f t="shared" si="94"/>
        <v>90815</v>
      </c>
      <c r="AC237" s="7">
        <f t="shared" si="94"/>
        <v>20</v>
      </c>
      <c r="AD237" s="7">
        <f t="shared" si="94"/>
        <v>900</v>
      </c>
      <c r="AE237" s="7">
        <f t="shared" si="94"/>
        <v>0</v>
      </c>
      <c r="AF237" s="7">
        <f t="shared" si="94"/>
        <v>0</v>
      </c>
      <c r="AG237" s="7">
        <f t="shared" si="94"/>
        <v>0</v>
      </c>
      <c r="AH237" s="7">
        <f t="shared" si="94"/>
        <v>0</v>
      </c>
      <c r="AI237" s="7">
        <f t="shared" si="94"/>
        <v>0</v>
      </c>
      <c r="AJ237" s="7">
        <f t="shared" si="94"/>
        <v>0</v>
      </c>
      <c r="AK237" s="7">
        <f>SUM(AK238:AK261)</f>
        <v>0</v>
      </c>
      <c r="AL237" s="7">
        <f>SUM(AL238:AL261)</f>
        <v>0</v>
      </c>
      <c r="AM237" s="7">
        <f t="shared" si="94"/>
        <v>1</v>
      </c>
      <c r="AN237" s="7">
        <f t="shared" si="94"/>
        <v>11970</v>
      </c>
      <c r="AO237" s="7">
        <f t="shared" si="94"/>
        <v>26</v>
      </c>
      <c r="AP237" s="7">
        <f>SUM(AP238:AP261)</f>
        <v>103685</v>
      </c>
      <c r="AQ237" s="9"/>
      <c r="AR237" s="9"/>
      <c r="AS237" s="7">
        <f>SUM(AS238:AS261)</f>
        <v>0</v>
      </c>
      <c r="AT237" s="9"/>
      <c r="AU237" s="9"/>
      <c r="AV237" s="9"/>
      <c r="AW237" s="8">
        <f aca="true" t="shared" si="95" ref="AW237:BD237">SUM(AW238:AW261)</f>
        <v>0</v>
      </c>
      <c r="AX237" s="8">
        <f t="shared" si="95"/>
        <v>0</v>
      </c>
      <c r="AY237" s="8">
        <f t="shared" si="95"/>
        <v>0</v>
      </c>
      <c r="AZ237" s="8">
        <f t="shared" si="95"/>
        <v>0</v>
      </c>
      <c r="BA237" s="8">
        <f t="shared" si="95"/>
        <v>0</v>
      </c>
      <c r="BB237" s="8">
        <f t="shared" si="95"/>
        <v>0</v>
      </c>
      <c r="BC237" s="8">
        <f t="shared" si="95"/>
        <v>20</v>
      </c>
      <c r="BD237" s="8">
        <f t="shared" si="95"/>
        <v>900</v>
      </c>
      <c r="BE237" s="8">
        <f aca="true" t="shared" si="96" ref="BE237:BL237">SUM(BE238:BE261)</f>
        <v>6</v>
      </c>
      <c r="BF237" s="8">
        <f t="shared" si="96"/>
        <v>102785</v>
      </c>
      <c r="BG237" s="8">
        <f t="shared" si="96"/>
        <v>0</v>
      </c>
      <c r="BH237" s="8">
        <f t="shared" si="96"/>
        <v>0</v>
      </c>
      <c r="BI237" s="8">
        <f t="shared" si="96"/>
        <v>0</v>
      </c>
      <c r="BJ237" s="8">
        <f t="shared" si="96"/>
        <v>0</v>
      </c>
      <c r="BK237" s="8">
        <f t="shared" si="96"/>
        <v>26</v>
      </c>
      <c r="BL237" s="8">
        <f t="shared" si="96"/>
        <v>103685</v>
      </c>
      <c r="BM237" s="8"/>
      <c r="BN237" s="8"/>
      <c r="BO237" s="9"/>
      <c r="BP237" s="9"/>
    </row>
    <row r="238" spans="1:68" s="19" customFormat="1" ht="12.75">
      <c r="A238"/>
      <c r="B238" s="40" t="s">
        <v>286</v>
      </c>
      <c r="C238" s="5" t="s">
        <v>2</v>
      </c>
      <c r="D238"/>
      <c r="E238"/>
      <c r="F238"/>
      <c r="G238"/>
      <c r="H238"/>
      <c r="I238"/>
      <c r="J238"/>
      <c r="K238"/>
      <c r="L238"/>
      <c r="M238"/>
      <c r="N238"/>
      <c r="O238" s="2">
        <f t="shared" si="92"/>
        <v>0</v>
      </c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 s="2">
        <f>Q238+S238+U238+W238+Y238+AA238+AC238+AE238+AG238+AI238+AK238+AM238</f>
        <v>0</v>
      </c>
      <c r="AP238" s="2">
        <f>R238+T238+V238+X238+Z238+AB238+AD238+AF238+AH238+AJ238+AL238+AN238</f>
        <v>0</v>
      </c>
      <c r="AQ238"/>
      <c r="AR238"/>
      <c r="AS238" s="2">
        <f t="shared" si="70"/>
        <v>0</v>
      </c>
      <c r="AT238"/>
      <c r="AU238"/>
      <c r="AV238"/>
      <c r="AW238"/>
      <c r="AX238"/>
      <c r="AY238"/>
      <c r="AZ238"/>
      <c r="BA238"/>
      <c r="BB238"/>
      <c r="BC238" s="70">
        <f t="shared" si="91"/>
        <v>0</v>
      </c>
      <c r="BD238" s="70">
        <f t="shared" si="91"/>
        <v>0</v>
      </c>
      <c r="BE238"/>
      <c r="BF238"/>
      <c r="BG238"/>
      <c r="BH238"/>
      <c r="BI238"/>
      <c r="BJ238"/>
      <c r="BK238" s="26">
        <f aca="true" t="shared" si="97" ref="BK238:BL260">AW238+AY238+BA238+BC238+BE238+BG238+BI238</f>
        <v>0</v>
      </c>
      <c r="BL238" s="26">
        <f t="shared" si="97"/>
        <v>0</v>
      </c>
      <c r="BM238"/>
      <c r="BN238" s="29">
        <f t="shared" si="83"/>
        <v>0</v>
      </c>
      <c r="BO238"/>
      <c r="BP238"/>
    </row>
    <row r="239" spans="1:68" s="19" customFormat="1" ht="12.75">
      <c r="A239"/>
      <c r="B239" s="59" t="s">
        <v>65</v>
      </c>
      <c r="C239" s="5" t="s">
        <v>50</v>
      </c>
      <c r="D239"/>
      <c r="E239"/>
      <c r="F239"/>
      <c r="G239"/>
      <c r="H239"/>
      <c r="I239"/>
      <c r="J239"/>
      <c r="K239"/>
      <c r="L239"/>
      <c r="M239"/>
      <c r="N239"/>
      <c r="O239" s="2">
        <f t="shared" si="92"/>
        <v>0</v>
      </c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 s="2">
        <f aca="true" t="shared" si="98" ref="AO239:AP255">Q239+S239+U239+W239+Y239+AA239+AC239+AE239+AG239+AI239+AK239+AM239</f>
        <v>0</v>
      </c>
      <c r="AP239" s="2">
        <f t="shared" si="98"/>
        <v>0</v>
      </c>
      <c r="AQ239"/>
      <c r="AR239"/>
      <c r="AS239" s="2">
        <f aca="true" t="shared" si="99" ref="AS239:AS269">O239-AP239</f>
        <v>0</v>
      </c>
      <c r="AT239"/>
      <c r="AU239"/>
      <c r="AV239"/>
      <c r="AW239"/>
      <c r="AX239"/>
      <c r="AY239"/>
      <c r="AZ239"/>
      <c r="BA239"/>
      <c r="BB239"/>
      <c r="BC239" s="70">
        <f t="shared" si="91"/>
        <v>0</v>
      </c>
      <c r="BD239" s="70">
        <f t="shared" si="91"/>
        <v>0</v>
      </c>
      <c r="BE239"/>
      <c r="BF239"/>
      <c r="BG239"/>
      <c r="BH239"/>
      <c r="BI239"/>
      <c r="BJ239"/>
      <c r="BK239" s="26">
        <f t="shared" si="97"/>
        <v>0</v>
      </c>
      <c r="BL239" s="26">
        <f t="shared" si="97"/>
        <v>0</v>
      </c>
      <c r="BM239"/>
      <c r="BN239" s="29">
        <f t="shared" si="83"/>
        <v>0</v>
      </c>
      <c r="BO239"/>
      <c r="BP239"/>
    </row>
    <row r="240" spans="1:68" s="19" customFormat="1" ht="12.75">
      <c r="A240"/>
      <c r="B240" s="59" t="s">
        <v>99</v>
      </c>
      <c r="C240" s="5" t="s">
        <v>2</v>
      </c>
      <c r="D240"/>
      <c r="E240"/>
      <c r="F240"/>
      <c r="G240"/>
      <c r="H240"/>
      <c r="I240"/>
      <c r="J240"/>
      <c r="K240"/>
      <c r="L240"/>
      <c r="M240"/>
      <c r="N240"/>
      <c r="O240" s="2">
        <f t="shared" si="92"/>
        <v>0</v>
      </c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 s="2">
        <f t="shared" si="98"/>
        <v>0</v>
      </c>
      <c r="AP240" s="2">
        <f t="shared" si="98"/>
        <v>0</v>
      </c>
      <c r="AQ240"/>
      <c r="AR240"/>
      <c r="AS240" s="2">
        <f t="shared" si="99"/>
        <v>0</v>
      </c>
      <c r="AT240"/>
      <c r="AU240"/>
      <c r="AV240"/>
      <c r="AW240"/>
      <c r="AX240"/>
      <c r="AY240"/>
      <c r="AZ240"/>
      <c r="BA240"/>
      <c r="BB240"/>
      <c r="BC240" s="70">
        <f t="shared" si="91"/>
        <v>0</v>
      </c>
      <c r="BD240" s="70">
        <f t="shared" si="91"/>
        <v>0</v>
      </c>
      <c r="BE240"/>
      <c r="BF240"/>
      <c r="BG240"/>
      <c r="BH240"/>
      <c r="BI240"/>
      <c r="BJ240"/>
      <c r="BK240" s="26">
        <f t="shared" si="97"/>
        <v>0</v>
      </c>
      <c r="BL240" s="26">
        <f t="shared" si="97"/>
        <v>0</v>
      </c>
      <c r="BM240"/>
      <c r="BN240" s="29">
        <f t="shared" si="83"/>
        <v>0</v>
      </c>
      <c r="BO240"/>
      <c r="BP240"/>
    </row>
    <row r="241" spans="1:68" s="19" customFormat="1" ht="12.75">
      <c r="A241"/>
      <c r="B241" s="59" t="s">
        <v>349</v>
      </c>
      <c r="C241" s="5" t="s">
        <v>2</v>
      </c>
      <c r="D241">
        <v>1</v>
      </c>
      <c r="E241"/>
      <c r="F241"/>
      <c r="G241"/>
      <c r="H241"/>
      <c r="I241"/>
      <c r="J241"/>
      <c r="K241">
        <f>11000-145</f>
        <v>10855</v>
      </c>
      <c r="L241"/>
      <c r="M241"/>
      <c r="N241"/>
      <c r="O241" s="2">
        <f t="shared" si="92"/>
        <v>10855</v>
      </c>
      <c r="Q241"/>
      <c r="R241"/>
      <c r="S241"/>
      <c r="T241"/>
      <c r="U241"/>
      <c r="V241"/>
      <c r="W241"/>
      <c r="X241"/>
      <c r="Y241"/>
      <c r="Z241"/>
      <c r="AA241">
        <v>1</v>
      </c>
      <c r="AB241">
        <f>AA241*10855</f>
        <v>10855</v>
      </c>
      <c r="AC241"/>
      <c r="AD241"/>
      <c r="AE241"/>
      <c r="AF241"/>
      <c r="AG241"/>
      <c r="AH241"/>
      <c r="AI241"/>
      <c r="AJ241"/>
      <c r="AK241"/>
      <c r="AL241"/>
      <c r="AM241"/>
      <c r="AN241"/>
      <c r="AO241" s="2">
        <f t="shared" si="98"/>
        <v>1</v>
      </c>
      <c r="AP241" s="2">
        <f t="shared" si="98"/>
        <v>10855</v>
      </c>
      <c r="AQ241"/>
      <c r="AR241"/>
      <c r="AS241" s="2">
        <f t="shared" si="99"/>
        <v>0</v>
      </c>
      <c r="AT241"/>
      <c r="AU241"/>
      <c r="AV241"/>
      <c r="AW241"/>
      <c r="AX241"/>
      <c r="AY241"/>
      <c r="AZ241"/>
      <c r="BA241"/>
      <c r="BB241"/>
      <c r="BC241" s="70"/>
      <c r="BD241" s="70"/>
      <c r="BE241">
        <f>AO241</f>
        <v>1</v>
      </c>
      <c r="BF241">
        <f>AP241</f>
        <v>10855</v>
      </c>
      <c r="BG241"/>
      <c r="BH241"/>
      <c r="BI241"/>
      <c r="BJ241"/>
      <c r="BK241" s="26">
        <f t="shared" si="97"/>
        <v>1</v>
      </c>
      <c r="BL241" s="26">
        <f t="shared" si="97"/>
        <v>10855</v>
      </c>
      <c r="BM241"/>
      <c r="BN241" s="29">
        <f t="shared" si="83"/>
        <v>0</v>
      </c>
      <c r="BO241"/>
      <c r="BP241"/>
    </row>
    <row r="242" spans="1:68" s="19" customFormat="1" ht="12.75">
      <c r="A242"/>
      <c r="B242" s="59" t="s">
        <v>350</v>
      </c>
      <c r="C242" s="5" t="s">
        <v>2</v>
      </c>
      <c r="E242"/>
      <c r="F242"/>
      <c r="G242"/>
      <c r="H242"/>
      <c r="I242"/>
      <c r="J242"/>
      <c r="L242"/>
      <c r="M242"/>
      <c r="N242"/>
      <c r="O242" s="2">
        <f t="shared" si="92"/>
        <v>0</v>
      </c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 s="2">
        <f t="shared" si="98"/>
        <v>0</v>
      </c>
      <c r="AP242" s="2">
        <f t="shared" si="98"/>
        <v>0</v>
      </c>
      <c r="AQ242"/>
      <c r="AR242"/>
      <c r="AS242" s="2">
        <f t="shared" si="99"/>
        <v>0</v>
      </c>
      <c r="AT242"/>
      <c r="AU242"/>
      <c r="AV242"/>
      <c r="AW242"/>
      <c r="AX242"/>
      <c r="AY242"/>
      <c r="AZ242"/>
      <c r="BA242"/>
      <c r="BB242"/>
      <c r="BC242" s="70">
        <f>AO242</f>
        <v>0</v>
      </c>
      <c r="BD242" s="70">
        <f>AP242</f>
        <v>0</v>
      </c>
      <c r="BE242"/>
      <c r="BF242"/>
      <c r="BG242"/>
      <c r="BH242"/>
      <c r="BI242"/>
      <c r="BJ242"/>
      <c r="BK242" s="26">
        <f t="shared" si="97"/>
        <v>0</v>
      </c>
      <c r="BL242" s="26">
        <f t="shared" si="97"/>
        <v>0</v>
      </c>
      <c r="BM242"/>
      <c r="BN242" s="29">
        <f t="shared" si="83"/>
        <v>0</v>
      </c>
      <c r="BO242"/>
      <c r="BP242"/>
    </row>
    <row r="243" spans="1:68" s="19" customFormat="1" ht="12.75">
      <c r="A243"/>
      <c r="B243" s="59" t="s">
        <v>351</v>
      </c>
      <c r="C243" s="5" t="s">
        <v>2</v>
      </c>
      <c r="D243">
        <v>4</v>
      </c>
      <c r="E243"/>
      <c r="F243"/>
      <c r="G243"/>
      <c r="H243"/>
      <c r="I243"/>
      <c r="J243"/>
      <c r="K243">
        <f>D243*20040-200</f>
        <v>79960</v>
      </c>
      <c r="L243"/>
      <c r="M243"/>
      <c r="N243"/>
      <c r="O243" s="2">
        <f t="shared" si="92"/>
        <v>79960</v>
      </c>
      <c r="Q243"/>
      <c r="R243"/>
      <c r="S243"/>
      <c r="T243"/>
      <c r="U243"/>
      <c r="V243"/>
      <c r="W243"/>
      <c r="X243"/>
      <c r="Y243"/>
      <c r="Z243"/>
      <c r="AA243">
        <v>4</v>
      </c>
      <c r="AB243">
        <f>AA243*19990</f>
        <v>79960</v>
      </c>
      <c r="AC243"/>
      <c r="AD243"/>
      <c r="AE243"/>
      <c r="AF243"/>
      <c r="AG243"/>
      <c r="AH243"/>
      <c r="AI243"/>
      <c r="AJ243"/>
      <c r="AK243"/>
      <c r="AL243"/>
      <c r="AM243"/>
      <c r="AN243"/>
      <c r="AO243" s="2">
        <f t="shared" si="98"/>
        <v>4</v>
      </c>
      <c r="AP243" s="2">
        <f t="shared" si="98"/>
        <v>79960</v>
      </c>
      <c r="AQ243"/>
      <c r="AR243"/>
      <c r="AS243" s="2">
        <f t="shared" si="99"/>
        <v>0</v>
      </c>
      <c r="AT243"/>
      <c r="AU243"/>
      <c r="AV243"/>
      <c r="AW243"/>
      <c r="AX243"/>
      <c r="AY243"/>
      <c r="AZ243"/>
      <c r="BA243"/>
      <c r="BB243"/>
      <c r="BC243" s="70"/>
      <c r="BD243" s="70"/>
      <c r="BE243">
        <f>AO243</f>
        <v>4</v>
      </c>
      <c r="BF243">
        <f>AP243</f>
        <v>79960</v>
      </c>
      <c r="BG243"/>
      <c r="BH243"/>
      <c r="BI243"/>
      <c r="BJ243"/>
      <c r="BK243" s="26">
        <f t="shared" si="97"/>
        <v>4</v>
      </c>
      <c r="BL243" s="26">
        <f t="shared" si="97"/>
        <v>79960</v>
      </c>
      <c r="BM243"/>
      <c r="BN243" s="29">
        <f t="shared" si="83"/>
        <v>0</v>
      </c>
      <c r="BO243"/>
      <c r="BP243"/>
    </row>
    <row r="244" spans="1:68" s="19" customFormat="1" ht="12.75">
      <c r="A244"/>
      <c r="B244" s="40" t="s">
        <v>436</v>
      </c>
      <c r="C244" s="5" t="s">
        <v>2</v>
      </c>
      <c r="D244">
        <v>1</v>
      </c>
      <c r="E244"/>
      <c r="F244"/>
      <c r="G244"/>
      <c r="H244"/>
      <c r="I244"/>
      <c r="J244"/>
      <c r="K244">
        <v>11970</v>
      </c>
      <c r="L244"/>
      <c r="M244"/>
      <c r="N244"/>
      <c r="O244" s="2">
        <f t="shared" si="92"/>
        <v>11970</v>
      </c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>
        <v>1</v>
      </c>
      <c r="AN244">
        <v>11970</v>
      </c>
      <c r="AO244" s="2">
        <f t="shared" si="98"/>
        <v>1</v>
      </c>
      <c r="AP244" s="2">
        <f t="shared" si="98"/>
        <v>11970</v>
      </c>
      <c r="AQ244"/>
      <c r="AR244"/>
      <c r="AS244" s="2">
        <f t="shared" si="99"/>
        <v>0</v>
      </c>
      <c r="AT244"/>
      <c r="AU244"/>
      <c r="AV244"/>
      <c r="AW244"/>
      <c r="AX244"/>
      <c r="AY244"/>
      <c r="AZ244"/>
      <c r="BA244"/>
      <c r="BB244"/>
      <c r="BC244" s="70"/>
      <c r="BD244" s="70"/>
      <c r="BE244">
        <f>AO244</f>
        <v>1</v>
      </c>
      <c r="BF244">
        <f>AP244</f>
        <v>11970</v>
      </c>
      <c r="BG244"/>
      <c r="BH244"/>
      <c r="BI244"/>
      <c r="BJ244"/>
      <c r="BK244" s="26">
        <f t="shared" si="97"/>
        <v>1</v>
      </c>
      <c r="BL244" s="26">
        <f t="shared" si="97"/>
        <v>11970</v>
      </c>
      <c r="BM244"/>
      <c r="BN244" s="29">
        <f t="shared" si="83"/>
        <v>0</v>
      </c>
      <c r="BO244"/>
      <c r="BP244"/>
    </row>
    <row r="245" spans="1:68" s="19" customFormat="1" ht="12.75">
      <c r="A245"/>
      <c r="B245" s="40" t="s">
        <v>66</v>
      </c>
      <c r="C245" s="5" t="s">
        <v>2</v>
      </c>
      <c r="D245"/>
      <c r="E245"/>
      <c r="F245"/>
      <c r="G245"/>
      <c r="H245"/>
      <c r="I245"/>
      <c r="J245"/>
      <c r="K245"/>
      <c r="L245"/>
      <c r="M245"/>
      <c r="N245"/>
      <c r="O245" s="2">
        <f t="shared" si="92"/>
        <v>0</v>
      </c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 s="2">
        <f t="shared" si="98"/>
        <v>0</v>
      </c>
      <c r="AP245" s="2">
        <f t="shared" si="98"/>
        <v>0</v>
      </c>
      <c r="AQ245"/>
      <c r="AR245"/>
      <c r="AS245" s="2">
        <f t="shared" si="99"/>
        <v>0</v>
      </c>
      <c r="AT245"/>
      <c r="AU245"/>
      <c r="AV245"/>
      <c r="AW245"/>
      <c r="AX245"/>
      <c r="AY245"/>
      <c r="AZ245"/>
      <c r="BA245"/>
      <c r="BB245"/>
      <c r="BC245" s="70">
        <f t="shared" si="91"/>
        <v>0</v>
      </c>
      <c r="BD245" s="70">
        <f t="shared" si="91"/>
        <v>0</v>
      </c>
      <c r="BE245"/>
      <c r="BF245"/>
      <c r="BG245"/>
      <c r="BH245"/>
      <c r="BI245"/>
      <c r="BJ245"/>
      <c r="BK245" s="26">
        <f t="shared" si="97"/>
        <v>0</v>
      </c>
      <c r="BL245" s="26">
        <f t="shared" si="97"/>
        <v>0</v>
      </c>
      <c r="BM245"/>
      <c r="BN245" s="29">
        <f t="shared" si="83"/>
        <v>0</v>
      </c>
      <c r="BO245"/>
      <c r="BP245"/>
    </row>
    <row r="246" spans="1:68" s="19" customFormat="1" ht="12.75">
      <c r="A246"/>
      <c r="B246" s="40" t="s">
        <v>128</v>
      </c>
      <c r="C246" s="5" t="s">
        <v>2</v>
      </c>
      <c r="D246"/>
      <c r="E246"/>
      <c r="F246"/>
      <c r="G246"/>
      <c r="H246"/>
      <c r="I246"/>
      <c r="J246"/>
      <c r="K246"/>
      <c r="L246"/>
      <c r="M246"/>
      <c r="N246"/>
      <c r="O246" s="2">
        <f t="shared" si="92"/>
        <v>0</v>
      </c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 s="2">
        <f t="shared" si="98"/>
        <v>0</v>
      </c>
      <c r="AP246" s="2">
        <f t="shared" si="98"/>
        <v>0</v>
      </c>
      <c r="AQ246"/>
      <c r="AR246"/>
      <c r="AS246" s="2">
        <f t="shared" si="99"/>
        <v>0</v>
      </c>
      <c r="AT246"/>
      <c r="AU246"/>
      <c r="AV246"/>
      <c r="AW246"/>
      <c r="AX246"/>
      <c r="AY246"/>
      <c r="AZ246"/>
      <c r="BA246"/>
      <c r="BB246"/>
      <c r="BC246" s="70">
        <f t="shared" si="91"/>
        <v>0</v>
      </c>
      <c r="BD246" s="70">
        <f t="shared" si="91"/>
        <v>0</v>
      </c>
      <c r="BE246"/>
      <c r="BF246"/>
      <c r="BG246"/>
      <c r="BH246"/>
      <c r="BI246"/>
      <c r="BJ246"/>
      <c r="BK246" s="26">
        <f t="shared" si="97"/>
        <v>0</v>
      </c>
      <c r="BL246" s="26">
        <f t="shared" si="97"/>
        <v>0</v>
      </c>
      <c r="BM246"/>
      <c r="BN246" s="29">
        <f t="shared" si="83"/>
        <v>0</v>
      </c>
      <c r="BO246"/>
      <c r="BP246"/>
    </row>
    <row r="247" spans="1:68" s="19" customFormat="1" ht="12.75">
      <c r="A247"/>
      <c r="B247" s="40" t="s">
        <v>190</v>
      </c>
      <c r="C247" s="5" t="s">
        <v>2</v>
      </c>
      <c r="D247"/>
      <c r="E247"/>
      <c r="F247"/>
      <c r="G247"/>
      <c r="H247"/>
      <c r="I247"/>
      <c r="J247"/>
      <c r="K247"/>
      <c r="L247"/>
      <c r="M247"/>
      <c r="N247"/>
      <c r="O247" s="2">
        <f t="shared" si="92"/>
        <v>0</v>
      </c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 s="2">
        <f t="shared" si="98"/>
        <v>0</v>
      </c>
      <c r="AP247" s="2">
        <f t="shared" si="98"/>
        <v>0</v>
      </c>
      <c r="AQ247"/>
      <c r="AR247"/>
      <c r="AS247" s="2">
        <f t="shared" si="99"/>
        <v>0</v>
      </c>
      <c r="AT247"/>
      <c r="AU247"/>
      <c r="AV247"/>
      <c r="AW247"/>
      <c r="AX247"/>
      <c r="AY247"/>
      <c r="AZ247"/>
      <c r="BA247"/>
      <c r="BB247"/>
      <c r="BC247" s="70">
        <f t="shared" si="91"/>
        <v>0</v>
      </c>
      <c r="BD247" s="70">
        <f t="shared" si="91"/>
        <v>0</v>
      </c>
      <c r="BE247"/>
      <c r="BF247"/>
      <c r="BG247"/>
      <c r="BH247"/>
      <c r="BI247"/>
      <c r="BJ247"/>
      <c r="BK247" s="26">
        <f t="shared" si="97"/>
        <v>0</v>
      </c>
      <c r="BL247" s="26">
        <f t="shared" si="97"/>
        <v>0</v>
      </c>
      <c r="BM247"/>
      <c r="BN247" s="29">
        <f t="shared" si="83"/>
        <v>0</v>
      </c>
      <c r="BO247"/>
      <c r="BP247"/>
    </row>
    <row r="248" spans="2:66" ht="12.75">
      <c r="B248" s="40" t="s">
        <v>377</v>
      </c>
      <c r="C248" s="5" t="s">
        <v>2</v>
      </c>
      <c r="O248" s="2">
        <f t="shared" si="92"/>
        <v>0</v>
      </c>
      <c r="AO248" s="2">
        <f t="shared" si="98"/>
        <v>0</v>
      </c>
      <c r="AP248" s="2">
        <f t="shared" si="98"/>
        <v>0</v>
      </c>
      <c r="AS248" s="2">
        <f t="shared" si="99"/>
        <v>0</v>
      </c>
      <c r="BC248" s="70">
        <f t="shared" si="91"/>
        <v>0</v>
      </c>
      <c r="BD248" s="70">
        <f t="shared" si="91"/>
        <v>0</v>
      </c>
      <c r="BK248" s="26">
        <f t="shared" si="97"/>
        <v>0</v>
      </c>
      <c r="BL248" s="26">
        <f t="shared" si="97"/>
        <v>0</v>
      </c>
      <c r="BN248" s="29">
        <f t="shared" si="83"/>
        <v>0</v>
      </c>
    </row>
    <row r="249" spans="2:66" ht="12.75">
      <c r="B249" s="59" t="s">
        <v>36</v>
      </c>
      <c r="C249" s="5" t="s">
        <v>2</v>
      </c>
      <c r="D249" s="38">
        <v>20</v>
      </c>
      <c r="H249">
        <f>D249*45</f>
        <v>900</v>
      </c>
      <c r="O249" s="2">
        <f t="shared" si="92"/>
        <v>900</v>
      </c>
      <c r="AC249">
        <v>20</v>
      </c>
      <c r="AD249">
        <v>900</v>
      </c>
      <c r="AO249" s="2">
        <f t="shared" si="98"/>
        <v>20</v>
      </c>
      <c r="AP249" s="2">
        <f t="shared" si="98"/>
        <v>900</v>
      </c>
      <c r="AS249" s="2">
        <f t="shared" si="99"/>
        <v>0</v>
      </c>
      <c r="BC249" s="70">
        <f t="shared" si="91"/>
        <v>20</v>
      </c>
      <c r="BD249" s="70">
        <f t="shared" si="91"/>
        <v>900</v>
      </c>
      <c r="BK249" s="26">
        <f t="shared" si="97"/>
        <v>20</v>
      </c>
      <c r="BL249" s="26">
        <f t="shared" si="97"/>
        <v>900</v>
      </c>
      <c r="BN249" s="29">
        <f t="shared" si="83"/>
        <v>0</v>
      </c>
    </row>
    <row r="250" spans="2:76" s="19" customFormat="1" ht="12.75">
      <c r="B250" s="59" t="s">
        <v>100</v>
      </c>
      <c r="C250" s="33" t="s">
        <v>2</v>
      </c>
      <c r="O250" s="26">
        <f t="shared" si="92"/>
        <v>0</v>
      </c>
      <c r="AO250" s="26">
        <f t="shared" si="98"/>
        <v>0</v>
      </c>
      <c r="AP250" s="26">
        <f t="shared" si="98"/>
        <v>0</v>
      </c>
      <c r="AS250" s="26">
        <f t="shared" si="99"/>
        <v>0</v>
      </c>
      <c r="BC250" s="70">
        <f t="shared" si="91"/>
        <v>0</v>
      </c>
      <c r="BD250" s="70">
        <f t="shared" si="91"/>
        <v>0</v>
      </c>
      <c r="BK250" s="26">
        <f t="shared" si="97"/>
        <v>0</v>
      </c>
      <c r="BL250" s="26">
        <f t="shared" si="97"/>
        <v>0</v>
      </c>
      <c r="BN250" s="29">
        <f t="shared" si="83"/>
        <v>0</v>
      </c>
      <c r="BQ250" s="18"/>
      <c r="BR250" s="18"/>
      <c r="BS250" s="18"/>
      <c r="BT250" s="18"/>
      <c r="BU250" s="18"/>
      <c r="BV250" s="18"/>
      <c r="BW250" s="18"/>
      <c r="BX250" s="18"/>
    </row>
    <row r="251" spans="2:66" ht="12.75">
      <c r="B251" s="40" t="s">
        <v>39</v>
      </c>
      <c r="C251" s="5" t="s">
        <v>2</v>
      </c>
      <c r="O251" s="2">
        <f t="shared" si="92"/>
        <v>0</v>
      </c>
      <c r="AO251" s="2">
        <f t="shared" si="98"/>
        <v>0</v>
      </c>
      <c r="AP251" s="2">
        <f t="shared" si="98"/>
        <v>0</v>
      </c>
      <c r="AS251" s="2">
        <f t="shared" si="99"/>
        <v>0</v>
      </c>
      <c r="BC251" s="70">
        <f t="shared" si="91"/>
        <v>0</v>
      </c>
      <c r="BD251" s="70">
        <f t="shared" si="91"/>
        <v>0</v>
      </c>
      <c r="BK251" s="26">
        <f t="shared" si="97"/>
        <v>0</v>
      </c>
      <c r="BL251" s="26">
        <f t="shared" si="97"/>
        <v>0</v>
      </c>
      <c r="BN251" s="29">
        <f t="shared" si="83"/>
        <v>0</v>
      </c>
    </row>
    <row r="252" spans="2:66" ht="12.75">
      <c r="B252" s="40" t="s">
        <v>35</v>
      </c>
      <c r="C252" s="5" t="s">
        <v>2</v>
      </c>
      <c r="O252" s="2">
        <f t="shared" si="92"/>
        <v>0</v>
      </c>
      <c r="AO252" s="2">
        <f t="shared" si="98"/>
        <v>0</v>
      </c>
      <c r="AP252" s="2">
        <f t="shared" si="98"/>
        <v>0</v>
      </c>
      <c r="AS252" s="2">
        <f t="shared" si="99"/>
        <v>0</v>
      </c>
      <c r="BC252" s="70">
        <f t="shared" si="91"/>
        <v>0</v>
      </c>
      <c r="BD252" s="70">
        <f t="shared" si="91"/>
        <v>0</v>
      </c>
      <c r="BK252" s="26">
        <f t="shared" si="97"/>
        <v>0</v>
      </c>
      <c r="BL252" s="26">
        <f t="shared" si="97"/>
        <v>0</v>
      </c>
      <c r="BN252" s="29">
        <f t="shared" si="83"/>
        <v>0</v>
      </c>
    </row>
    <row r="253" spans="2:66" ht="12.75">
      <c r="B253" s="40" t="s">
        <v>173</v>
      </c>
      <c r="C253" s="5" t="s">
        <v>2</v>
      </c>
      <c r="O253" s="2">
        <f t="shared" si="92"/>
        <v>0</v>
      </c>
      <c r="AO253" s="2">
        <f t="shared" si="98"/>
        <v>0</v>
      </c>
      <c r="AP253" s="2">
        <f t="shared" si="98"/>
        <v>0</v>
      </c>
      <c r="AS253" s="2">
        <f t="shared" si="99"/>
        <v>0</v>
      </c>
      <c r="BC253" s="70">
        <f t="shared" si="91"/>
        <v>0</v>
      </c>
      <c r="BD253" s="70">
        <f t="shared" si="91"/>
        <v>0</v>
      </c>
      <c r="BK253" s="26">
        <f t="shared" si="97"/>
        <v>0</v>
      </c>
      <c r="BL253" s="26">
        <f t="shared" si="97"/>
        <v>0</v>
      </c>
      <c r="BN253" s="29">
        <f t="shared" si="83"/>
        <v>0</v>
      </c>
    </row>
    <row r="254" spans="2:66" ht="12.75">
      <c r="B254" s="40" t="s">
        <v>127</v>
      </c>
      <c r="C254" s="5" t="s">
        <v>2</v>
      </c>
      <c r="O254" s="2">
        <f t="shared" si="92"/>
        <v>0</v>
      </c>
      <c r="AO254" s="2">
        <f t="shared" si="98"/>
        <v>0</v>
      </c>
      <c r="AP254" s="2">
        <f t="shared" si="98"/>
        <v>0</v>
      </c>
      <c r="AS254" s="2">
        <f t="shared" si="99"/>
        <v>0</v>
      </c>
      <c r="BC254" s="70">
        <f t="shared" si="91"/>
        <v>0</v>
      </c>
      <c r="BD254" s="70">
        <f t="shared" si="91"/>
        <v>0</v>
      </c>
      <c r="BK254" s="26">
        <f t="shared" si="97"/>
        <v>0</v>
      </c>
      <c r="BL254" s="26">
        <f t="shared" si="97"/>
        <v>0</v>
      </c>
      <c r="BN254" s="29">
        <f t="shared" si="83"/>
        <v>0</v>
      </c>
    </row>
    <row r="255" spans="2:66" ht="12.75">
      <c r="B255" s="40" t="s">
        <v>379</v>
      </c>
      <c r="C255" s="5" t="s">
        <v>2</v>
      </c>
      <c r="O255" s="2">
        <f t="shared" si="92"/>
        <v>0</v>
      </c>
      <c r="AO255" s="2">
        <f t="shared" si="98"/>
        <v>0</v>
      </c>
      <c r="AP255" s="2">
        <f t="shared" si="98"/>
        <v>0</v>
      </c>
      <c r="AS255" s="2">
        <f t="shared" si="99"/>
        <v>0</v>
      </c>
      <c r="BC255" s="70">
        <f t="shared" si="91"/>
        <v>0</v>
      </c>
      <c r="BD255" s="70">
        <f t="shared" si="91"/>
        <v>0</v>
      </c>
      <c r="BK255" s="26">
        <f t="shared" si="97"/>
        <v>0</v>
      </c>
      <c r="BL255" s="26">
        <f t="shared" si="97"/>
        <v>0</v>
      </c>
      <c r="BN255" s="29">
        <f t="shared" si="83"/>
        <v>0</v>
      </c>
    </row>
    <row r="256" spans="2:66" ht="12.75">
      <c r="B256" s="40" t="s">
        <v>250</v>
      </c>
      <c r="C256" s="5" t="s">
        <v>2</v>
      </c>
      <c r="O256" s="2">
        <f t="shared" si="92"/>
        <v>0</v>
      </c>
      <c r="AO256" s="2">
        <f aca="true" t="shared" si="100" ref="AO256:AP269">Q256+S256+U256+W256+Y256+AA256+AC256+AE256+AG256+AI256+AK256+AM256</f>
        <v>0</v>
      </c>
      <c r="AP256" s="2">
        <f t="shared" si="100"/>
        <v>0</v>
      </c>
      <c r="AS256" s="2">
        <f t="shared" si="99"/>
        <v>0</v>
      </c>
      <c r="BC256" s="70">
        <f t="shared" si="91"/>
        <v>0</v>
      </c>
      <c r="BD256" s="70">
        <f t="shared" si="91"/>
        <v>0</v>
      </c>
      <c r="BK256" s="26">
        <f t="shared" si="97"/>
        <v>0</v>
      </c>
      <c r="BL256" s="26">
        <f t="shared" si="97"/>
        <v>0</v>
      </c>
      <c r="BN256" s="29">
        <f t="shared" si="83"/>
        <v>0</v>
      </c>
    </row>
    <row r="257" spans="2:66" ht="12.75">
      <c r="B257" s="40" t="s">
        <v>267</v>
      </c>
      <c r="C257" s="5" t="s">
        <v>2</v>
      </c>
      <c r="O257" s="2">
        <f t="shared" si="92"/>
        <v>0</v>
      </c>
      <c r="AO257" s="2">
        <f t="shared" si="100"/>
        <v>0</v>
      </c>
      <c r="AP257" s="2">
        <f t="shared" si="100"/>
        <v>0</v>
      </c>
      <c r="AS257" s="2">
        <f t="shared" si="99"/>
        <v>0</v>
      </c>
      <c r="BC257" s="70">
        <f t="shared" si="91"/>
        <v>0</v>
      </c>
      <c r="BD257" s="70">
        <f t="shared" si="91"/>
        <v>0</v>
      </c>
      <c r="BK257" s="26">
        <f t="shared" si="97"/>
        <v>0</v>
      </c>
      <c r="BL257" s="26">
        <f t="shared" si="97"/>
        <v>0</v>
      </c>
      <c r="BN257" s="29">
        <f t="shared" si="83"/>
        <v>0</v>
      </c>
    </row>
    <row r="258" spans="2:66" ht="12.75">
      <c r="B258" s="40" t="s">
        <v>204</v>
      </c>
      <c r="C258" s="5"/>
      <c r="O258" s="2">
        <f t="shared" si="92"/>
        <v>0</v>
      </c>
      <c r="AO258" s="2">
        <f t="shared" si="100"/>
        <v>0</v>
      </c>
      <c r="AP258" s="2">
        <f t="shared" si="100"/>
        <v>0</v>
      </c>
      <c r="AS258" s="2">
        <f t="shared" si="99"/>
        <v>0</v>
      </c>
      <c r="BC258" s="70">
        <f t="shared" si="91"/>
        <v>0</v>
      </c>
      <c r="BD258" s="70">
        <f t="shared" si="91"/>
        <v>0</v>
      </c>
      <c r="BK258" s="26">
        <f t="shared" si="97"/>
        <v>0</v>
      </c>
      <c r="BL258" s="26">
        <f t="shared" si="97"/>
        <v>0</v>
      </c>
      <c r="BN258" s="29">
        <f t="shared" si="83"/>
        <v>0</v>
      </c>
    </row>
    <row r="259" spans="2:66" ht="12.75">
      <c r="B259" s="40" t="s">
        <v>282</v>
      </c>
      <c r="C259" s="5"/>
      <c r="O259" s="2">
        <f t="shared" si="92"/>
        <v>0</v>
      </c>
      <c r="AO259" s="2">
        <f t="shared" si="100"/>
        <v>0</v>
      </c>
      <c r="AP259" s="2">
        <f t="shared" si="100"/>
        <v>0</v>
      </c>
      <c r="AS259" s="2">
        <f t="shared" si="99"/>
        <v>0</v>
      </c>
      <c r="BC259" s="70">
        <f t="shared" si="91"/>
        <v>0</v>
      </c>
      <c r="BD259" s="70">
        <f t="shared" si="91"/>
        <v>0</v>
      </c>
      <c r="BK259" s="26">
        <f t="shared" si="97"/>
        <v>0</v>
      </c>
      <c r="BL259" s="26">
        <f t="shared" si="97"/>
        <v>0</v>
      </c>
      <c r="BN259" s="29">
        <f t="shared" si="83"/>
        <v>0</v>
      </c>
    </row>
    <row r="260" spans="2:66" ht="12.75">
      <c r="B260" s="40" t="s">
        <v>268</v>
      </c>
      <c r="C260" s="5"/>
      <c r="O260" s="2">
        <f t="shared" si="92"/>
        <v>0</v>
      </c>
      <c r="AO260" s="2">
        <f t="shared" si="100"/>
        <v>0</v>
      </c>
      <c r="AP260" s="2">
        <f t="shared" si="100"/>
        <v>0</v>
      </c>
      <c r="AS260" s="2">
        <f t="shared" si="99"/>
        <v>0</v>
      </c>
      <c r="BC260" s="70">
        <f t="shared" si="91"/>
        <v>0</v>
      </c>
      <c r="BD260" s="70">
        <f t="shared" si="91"/>
        <v>0</v>
      </c>
      <c r="BK260" s="26">
        <f>AW260+AY260+BA260+BC260+BE260+BG260+BI260</f>
        <v>0</v>
      </c>
      <c r="BL260" s="26">
        <f t="shared" si="97"/>
        <v>0</v>
      </c>
      <c r="BN260" s="29">
        <f t="shared" si="83"/>
        <v>0</v>
      </c>
    </row>
    <row r="261" spans="1:66" ht="15">
      <c r="A261" s="7"/>
      <c r="B261" s="88"/>
      <c r="C261" s="14"/>
      <c r="D261" s="14"/>
      <c r="E261" s="7"/>
      <c r="O261" s="2">
        <f t="shared" si="92"/>
        <v>0</v>
      </c>
      <c r="AO261" s="2">
        <f t="shared" si="100"/>
        <v>0</v>
      </c>
      <c r="AP261" s="2">
        <f t="shared" si="100"/>
        <v>0</v>
      </c>
      <c r="AS261" s="2">
        <f t="shared" si="99"/>
        <v>0</v>
      </c>
      <c r="BC261" s="70">
        <f>AO261</f>
        <v>0</v>
      </c>
      <c r="BD261" s="70">
        <f>AP261</f>
        <v>0</v>
      </c>
      <c r="BK261" s="26">
        <f>AW261+AY261+BA261+BC261+BE261+BG261+BI261</f>
        <v>0</v>
      </c>
      <c r="BL261" s="26">
        <f>AX261+AZ261+BB261+BD261+BF261+BH261+BJ261</f>
        <v>0</v>
      </c>
      <c r="BN261" s="29">
        <f t="shared" si="83"/>
        <v>0</v>
      </c>
    </row>
    <row r="262" spans="1:68" ht="14.25">
      <c r="A262" s="94">
        <v>17</v>
      </c>
      <c r="B262" s="64" t="s">
        <v>352</v>
      </c>
      <c r="C262" s="24"/>
      <c r="D262" s="21"/>
      <c r="E262" s="21"/>
      <c r="F262" s="21"/>
      <c r="G262" s="21"/>
      <c r="H262" s="21"/>
      <c r="I262" s="28"/>
      <c r="J262" s="28"/>
      <c r="K262" s="28"/>
      <c r="L262" s="28"/>
      <c r="M262" s="28"/>
      <c r="N262" s="28"/>
      <c r="O262" s="26">
        <f t="shared" si="92"/>
        <v>0</v>
      </c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9">
        <v>0</v>
      </c>
      <c r="AN262" s="9">
        <v>0</v>
      </c>
      <c r="AO262" s="26">
        <f t="shared" si="100"/>
        <v>0</v>
      </c>
      <c r="AP262" s="26">
        <f t="shared" si="100"/>
        <v>0</v>
      </c>
      <c r="AQ262" s="28"/>
      <c r="AR262" s="28"/>
      <c r="AS262" s="26">
        <f t="shared" si="99"/>
        <v>0</v>
      </c>
      <c r="AT262" s="28"/>
      <c r="AU262" s="28"/>
      <c r="AV262" s="28"/>
      <c r="AW262" s="28">
        <f>AO262</f>
        <v>0</v>
      </c>
      <c r="AX262" s="28">
        <f>AP262</f>
        <v>0</v>
      </c>
      <c r="AY262" s="28"/>
      <c r="AZ262" s="28"/>
      <c r="BA262" s="28"/>
      <c r="BB262" s="28"/>
      <c r="BC262" s="24"/>
      <c r="BD262" s="24"/>
      <c r="BE262" s="28"/>
      <c r="BF262" s="28"/>
      <c r="BG262" s="28"/>
      <c r="BH262" s="28"/>
      <c r="BI262" s="28"/>
      <c r="BJ262" s="28"/>
      <c r="BK262" s="24">
        <f aca="true" t="shared" si="101" ref="BK262:BL269">AW262+AY262+BA262+BC262+BE262+BG262+BI262</f>
        <v>0</v>
      </c>
      <c r="BL262" s="24">
        <f t="shared" si="101"/>
        <v>0</v>
      </c>
      <c r="BM262" s="28"/>
      <c r="BN262" s="29">
        <f t="shared" si="83"/>
        <v>0</v>
      </c>
      <c r="BO262" s="28"/>
      <c r="BP262" s="28"/>
    </row>
    <row r="263" spans="1:68" ht="15">
      <c r="A263" s="94">
        <f aca="true" t="shared" si="102" ref="A263:A269">A262+1</f>
        <v>18</v>
      </c>
      <c r="B263" s="79" t="s">
        <v>242</v>
      </c>
      <c r="C263" s="14">
        <v>2</v>
      </c>
      <c r="D263" s="14"/>
      <c r="E263" s="7">
        <f>C263*5774</f>
        <v>11548</v>
      </c>
      <c r="F263" s="21"/>
      <c r="G263" s="21"/>
      <c r="H263" s="21"/>
      <c r="I263" s="28"/>
      <c r="J263" s="28"/>
      <c r="K263" s="28"/>
      <c r="L263" s="28"/>
      <c r="M263" s="28"/>
      <c r="N263" s="28"/>
      <c r="O263" s="26">
        <f t="shared" si="92"/>
        <v>11548</v>
      </c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9">
        <v>11</v>
      </c>
      <c r="AN263" s="9">
        <v>8697</v>
      </c>
      <c r="AO263" s="26">
        <f>Q263+S263+U263+W263+Y263+AA263+AC263+AE263+AG263+AI263+AK263+AM263</f>
        <v>11</v>
      </c>
      <c r="AP263" s="26">
        <f>R263+T263+V263+X263+Z263+AB263+AD263+AF263+AH263+AJ263+AL263+AN263</f>
        <v>8697</v>
      </c>
      <c r="AQ263" s="28"/>
      <c r="AR263" s="28"/>
      <c r="AS263" s="26">
        <f>O263-AP263</f>
        <v>2851</v>
      </c>
      <c r="AT263" s="28"/>
      <c r="AU263" s="28"/>
      <c r="AV263" s="28"/>
      <c r="AW263" s="28">
        <f>AO263</f>
        <v>11</v>
      </c>
      <c r="AX263" s="28">
        <f>AP263</f>
        <v>8697</v>
      </c>
      <c r="AY263" s="28"/>
      <c r="AZ263" s="28"/>
      <c r="BA263" s="28"/>
      <c r="BB263" s="28"/>
      <c r="BC263" s="24"/>
      <c r="BD263" s="24"/>
      <c r="BE263" s="28"/>
      <c r="BF263" s="28"/>
      <c r="BG263" s="28"/>
      <c r="BH263" s="28"/>
      <c r="BI263" s="28"/>
      <c r="BJ263" s="28"/>
      <c r="BK263" s="24">
        <f>AW263+AY263+BA263+BC263+BE263+BG263+BI263</f>
        <v>11</v>
      </c>
      <c r="BL263" s="24">
        <f>AX263+AZ263+BB263+BD263+BF263+BH263+BJ263</f>
        <v>8697</v>
      </c>
      <c r="BM263" s="28"/>
      <c r="BN263" s="29">
        <f t="shared" si="83"/>
        <v>0</v>
      </c>
      <c r="BO263" s="28"/>
      <c r="BP263" s="28"/>
    </row>
    <row r="264" spans="1:68" ht="14.25">
      <c r="A264" s="10">
        <f t="shared" si="102"/>
        <v>19</v>
      </c>
      <c r="B264" s="61" t="s">
        <v>18</v>
      </c>
      <c r="C264" s="8" t="s">
        <v>19</v>
      </c>
      <c r="D264" s="42">
        <v>3586</v>
      </c>
      <c r="E264" s="7"/>
      <c r="F264" s="7"/>
      <c r="G264" s="7"/>
      <c r="H264" s="7">
        <f>D264*25</f>
        <v>89650</v>
      </c>
      <c r="I264" s="9"/>
      <c r="J264" s="9">
        <v>-18561</v>
      </c>
      <c r="K264" s="9"/>
      <c r="L264" s="9"/>
      <c r="M264" s="9"/>
      <c r="N264" s="9"/>
      <c r="O264" s="2">
        <f t="shared" si="92"/>
        <v>71089</v>
      </c>
      <c r="P264" s="28"/>
      <c r="Q264" s="9"/>
      <c r="R264" s="9"/>
      <c r="S264" s="9"/>
      <c r="T264" s="9"/>
      <c r="U264" s="9"/>
      <c r="V264" s="9"/>
      <c r="W264" s="9"/>
      <c r="X264" s="9"/>
      <c r="Y264" s="9">
        <v>1800</v>
      </c>
      <c r="Z264" s="9">
        <v>45000</v>
      </c>
      <c r="AA264" s="9"/>
      <c r="AB264" s="9"/>
      <c r="AC264" s="9"/>
      <c r="AD264" s="9"/>
      <c r="AE264" s="9"/>
      <c r="AF264" s="9"/>
      <c r="AG264" s="9">
        <v>1000</v>
      </c>
      <c r="AH264" s="9">
        <v>25880</v>
      </c>
      <c r="AI264" s="9"/>
      <c r="AJ264" s="9"/>
      <c r="AK264" s="9"/>
      <c r="AL264" s="9"/>
      <c r="AM264" s="9"/>
      <c r="AN264" s="9"/>
      <c r="AO264" s="2">
        <f t="shared" si="100"/>
        <v>2800</v>
      </c>
      <c r="AP264" s="2">
        <f t="shared" si="100"/>
        <v>70880</v>
      </c>
      <c r="AQ264" s="9"/>
      <c r="AR264" s="9"/>
      <c r="AS264" s="2">
        <f>O264-AP264</f>
        <v>209</v>
      </c>
      <c r="AT264" s="9"/>
      <c r="AU264" s="9"/>
      <c r="AV264" s="9"/>
      <c r="AW264" s="9"/>
      <c r="AX264" s="9"/>
      <c r="AY264" s="9"/>
      <c r="AZ264" s="9"/>
      <c r="BA264" s="9"/>
      <c r="BB264" s="9"/>
      <c r="BC264" s="24">
        <f t="shared" si="91"/>
        <v>2800</v>
      </c>
      <c r="BD264" s="24">
        <f t="shared" si="91"/>
        <v>70880</v>
      </c>
      <c r="BE264" s="9"/>
      <c r="BF264" s="9"/>
      <c r="BG264" s="9"/>
      <c r="BH264" s="9"/>
      <c r="BI264" s="9"/>
      <c r="BJ264" s="9"/>
      <c r="BK264" s="24">
        <f t="shared" si="101"/>
        <v>2800</v>
      </c>
      <c r="BL264" s="24">
        <f t="shared" si="101"/>
        <v>70880</v>
      </c>
      <c r="BM264" s="9"/>
      <c r="BN264" s="29">
        <f t="shared" si="83"/>
        <v>0</v>
      </c>
      <c r="BO264" s="9"/>
      <c r="BP264" s="9"/>
    </row>
    <row r="265" spans="1:68" ht="14.25">
      <c r="A265" s="10">
        <f t="shared" si="102"/>
        <v>20</v>
      </c>
      <c r="B265" s="61" t="s">
        <v>191</v>
      </c>
      <c r="C265" s="8" t="s">
        <v>19</v>
      </c>
      <c r="D265" s="42">
        <v>20</v>
      </c>
      <c r="E265" s="7"/>
      <c r="F265" s="7"/>
      <c r="G265" s="7"/>
      <c r="H265" s="7">
        <f>D265*150</f>
        <v>3000</v>
      </c>
      <c r="I265" s="9"/>
      <c r="J265" s="9">
        <v>3000</v>
      </c>
      <c r="K265" s="9"/>
      <c r="L265" s="9"/>
      <c r="M265" s="9"/>
      <c r="N265" s="9"/>
      <c r="O265" s="2">
        <f t="shared" si="92"/>
        <v>6000</v>
      </c>
      <c r="P265" s="28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>
        <f>1*20+2*20</f>
        <v>60</v>
      </c>
      <c r="AJ265" s="9">
        <f>1987.5+3997.8</f>
        <v>5985.3</v>
      </c>
      <c r="AK265" s="9"/>
      <c r="AL265" s="9"/>
      <c r="AM265" s="9"/>
      <c r="AN265" s="9"/>
      <c r="AO265" s="2">
        <f t="shared" si="100"/>
        <v>60</v>
      </c>
      <c r="AP265" s="2">
        <f t="shared" si="100"/>
        <v>5985.3</v>
      </c>
      <c r="AQ265" s="9"/>
      <c r="AR265" s="9"/>
      <c r="AS265" s="2">
        <f t="shared" si="99"/>
        <v>14.699999999999818</v>
      </c>
      <c r="AT265" s="9"/>
      <c r="AU265" s="9"/>
      <c r="AV265" s="9"/>
      <c r="AW265" s="9"/>
      <c r="AX265" s="9"/>
      <c r="AY265" s="9"/>
      <c r="AZ265" s="9"/>
      <c r="BA265" s="9"/>
      <c r="BB265" s="9"/>
      <c r="BC265" s="24">
        <f t="shared" si="91"/>
        <v>60</v>
      </c>
      <c r="BD265" s="24">
        <f t="shared" si="91"/>
        <v>5985.3</v>
      </c>
      <c r="BE265" s="9"/>
      <c r="BF265" s="9"/>
      <c r="BG265" s="9"/>
      <c r="BH265" s="9"/>
      <c r="BI265" s="9"/>
      <c r="BJ265" s="9"/>
      <c r="BK265" s="24">
        <f t="shared" si="101"/>
        <v>60</v>
      </c>
      <c r="BL265" s="24">
        <f t="shared" si="101"/>
        <v>5985.3</v>
      </c>
      <c r="BM265" s="9"/>
      <c r="BN265" s="29">
        <f t="shared" si="83"/>
        <v>0</v>
      </c>
      <c r="BO265" s="9"/>
      <c r="BP265" s="9"/>
    </row>
    <row r="266" spans="1:68" ht="15">
      <c r="A266" s="10">
        <f t="shared" si="102"/>
        <v>21</v>
      </c>
      <c r="B266" s="79" t="s">
        <v>384</v>
      </c>
      <c r="C266" s="8" t="s">
        <v>2</v>
      </c>
      <c r="D266" s="7"/>
      <c r="E266" s="7"/>
      <c r="F266" s="7">
        <v>3402</v>
      </c>
      <c r="G266" s="7"/>
      <c r="H266" s="7"/>
      <c r="I266" s="9"/>
      <c r="J266" s="9"/>
      <c r="K266" s="9"/>
      <c r="L266" s="9"/>
      <c r="M266" s="9"/>
      <c r="N266" s="9"/>
      <c r="O266" s="2">
        <f t="shared" si="92"/>
        <v>3402</v>
      </c>
      <c r="P266" s="28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>
        <v>3</v>
      </c>
      <c r="AN266" s="9">
        <v>6268</v>
      </c>
      <c r="AO266" s="2">
        <f t="shared" si="100"/>
        <v>3</v>
      </c>
      <c r="AP266" s="2">
        <f t="shared" si="100"/>
        <v>6268</v>
      </c>
      <c r="AQ266" s="9"/>
      <c r="AR266" s="9"/>
      <c r="AS266" s="2">
        <f t="shared" si="99"/>
        <v>-2866</v>
      </c>
      <c r="AT266" s="9"/>
      <c r="AU266" s="9"/>
      <c r="AV266" s="9"/>
      <c r="AW266" s="9"/>
      <c r="AX266" s="9"/>
      <c r="AY266" s="9">
        <f>AO266</f>
        <v>3</v>
      </c>
      <c r="AZ266" s="9">
        <f>AP266</f>
        <v>6268</v>
      </c>
      <c r="BA266" s="9"/>
      <c r="BB266" s="9"/>
      <c r="BC266" s="24"/>
      <c r="BD266" s="24"/>
      <c r="BE266" s="9"/>
      <c r="BF266" s="9"/>
      <c r="BG266" s="9"/>
      <c r="BH266" s="9"/>
      <c r="BI266" s="9"/>
      <c r="BJ266" s="9"/>
      <c r="BK266" s="24">
        <f t="shared" si="101"/>
        <v>3</v>
      </c>
      <c r="BL266" s="24">
        <f t="shared" si="101"/>
        <v>6268</v>
      </c>
      <c r="BM266" s="9"/>
      <c r="BN266" s="29">
        <f t="shared" si="83"/>
        <v>0</v>
      </c>
      <c r="BO266" s="9"/>
      <c r="BP266" s="9"/>
    </row>
    <row r="267" spans="1:76" s="19" customFormat="1" ht="15">
      <c r="A267" s="10">
        <f t="shared" si="102"/>
        <v>22</v>
      </c>
      <c r="B267" s="64" t="s">
        <v>385</v>
      </c>
      <c r="C267" s="9"/>
      <c r="D267" s="11"/>
      <c r="E267" s="11"/>
      <c r="F267" s="11"/>
      <c r="G267" s="11"/>
      <c r="H267" s="11"/>
      <c r="I267" s="9"/>
      <c r="J267" s="9"/>
      <c r="K267" s="9"/>
      <c r="L267" s="9"/>
      <c r="M267" s="9"/>
      <c r="N267" s="9"/>
      <c r="O267" s="2">
        <f t="shared" si="92"/>
        <v>0</v>
      </c>
      <c r="P267" s="28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>
        <v>0</v>
      </c>
      <c r="AN267" s="9">
        <v>0</v>
      </c>
      <c r="AO267" s="2">
        <f t="shared" si="100"/>
        <v>0</v>
      </c>
      <c r="AP267" s="2">
        <f t="shared" si="100"/>
        <v>0</v>
      </c>
      <c r="AQ267" s="9"/>
      <c r="AR267" s="9"/>
      <c r="AS267" s="2">
        <f>O267-AP267</f>
        <v>0</v>
      </c>
      <c r="AT267" s="9"/>
      <c r="AU267" s="9"/>
      <c r="AV267" s="9"/>
      <c r="AW267" s="9"/>
      <c r="AX267" s="9"/>
      <c r="AY267" s="9">
        <f>AO267</f>
        <v>0</v>
      </c>
      <c r="AZ267" s="9">
        <f>AP267</f>
        <v>0</v>
      </c>
      <c r="BA267" s="9"/>
      <c r="BB267" s="9"/>
      <c r="BC267" s="24"/>
      <c r="BD267" s="24"/>
      <c r="BE267" s="9"/>
      <c r="BF267" s="9"/>
      <c r="BG267" s="9"/>
      <c r="BH267" s="9"/>
      <c r="BI267" s="9"/>
      <c r="BJ267" s="9"/>
      <c r="BK267" s="24">
        <f t="shared" si="101"/>
        <v>0</v>
      </c>
      <c r="BL267" s="24">
        <f t="shared" si="101"/>
        <v>0</v>
      </c>
      <c r="BM267" s="9"/>
      <c r="BN267" s="29">
        <f t="shared" si="83"/>
        <v>0</v>
      </c>
      <c r="BO267" s="9"/>
      <c r="BP267" s="9"/>
      <c r="BQ267" s="16"/>
      <c r="BR267" s="16"/>
      <c r="BS267" s="16"/>
      <c r="BT267" s="16"/>
      <c r="BU267" s="16"/>
      <c r="BV267" s="16"/>
      <c r="BW267" s="16"/>
      <c r="BX267" s="16"/>
    </row>
    <row r="268" spans="1:68" ht="15">
      <c r="A268" s="10">
        <f t="shared" si="102"/>
        <v>23</v>
      </c>
      <c r="B268" s="61" t="s">
        <v>101</v>
      </c>
      <c r="C268" s="9" t="s">
        <v>2</v>
      </c>
      <c r="D268" s="11">
        <v>1</v>
      </c>
      <c r="E268" s="11"/>
      <c r="F268" s="11"/>
      <c r="G268" s="11"/>
      <c r="H268" s="11">
        <v>500</v>
      </c>
      <c r="I268" s="9"/>
      <c r="J268" s="9"/>
      <c r="K268" s="9"/>
      <c r="L268" s="9"/>
      <c r="M268" s="9"/>
      <c r="N268" s="9"/>
      <c r="O268" s="2">
        <f t="shared" si="92"/>
        <v>500</v>
      </c>
      <c r="P268" s="28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>
        <v>1</v>
      </c>
      <c r="AN268" s="9">
        <v>335</v>
      </c>
      <c r="AO268" s="2">
        <f t="shared" si="100"/>
        <v>1</v>
      </c>
      <c r="AP268" s="2">
        <f t="shared" si="100"/>
        <v>335</v>
      </c>
      <c r="AQ268" s="9"/>
      <c r="AR268" s="9"/>
      <c r="AS268" s="2">
        <f t="shared" si="99"/>
        <v>165</v>
      </c>
      <c r="AT268" s="9"/>
      <c r="AU268" s="9"/>
      <c r="AV268" s="9"/>
      <c r="AW268" s="9"/>
      <c r="AX268" s="9"/>
      <c r="AY268" s="9"/>
      <c r="AZ268" s="9"/>
      <c r="BA268" s="9"/>
      <c r="BB268" s="9"/>
      <c r="BC268" s="24">
        <f t="shared" si="91"/>
        <v>1</v>
      </c>
      <c r="BD268" s="24">
        <f t="shared" si="91"/>
        <v>335</v>
      </c>
      <c r="BE268" s="9"/>
      <c r="BF268" s="9"/>
      <c r="BG268" s="9"/>
      <c r="BH268" s="9"/>
      <c r="BI268" s="9"/>
      <c r="BJ268" s="9"/>
      <c r="BK268" s="24">
        <f t="shared" si="101"/>
        <v>1</v>
      </c>
      <c r="BL268" s="24">
        <f t="shared" si="101"/>
        <v>335</v>
      </c>
      <c r="BM268" s="9"/>
      <c r="BN268" s="29">
        <f t="shared" si="83"/>
        <v>0</v>
      </c>
      <c r="BO268" s="9"/>
      <c r="BP268" s="9"/>
    </row>
    <row r="269" spans="1:66" s="9" customFormat="1" ht="14.25">
      <c r="A269" s="10">
        <f t="shared" si="102"/>
        <v>24</v>
      </c>
      <c r="B269" s="61" t="s">
        <v>269</v>
      </c>
      <c r="C269" s="8" t="s">
        <v>2</v>
      </c>
      <c r="D269" s="7"/>
      <c r="E269" s="7"/>
      <c r="F269" s="7"/>
      <c r="G269" s="7"/>
      <c r="H269" s="7"/>
      <c r="O269" s="2">
        <f t="shared" si="92"/>
        <v>0</v>
      </c>
      <c r="P269" s="28"/>
      <c r="AO269" s="2">
        <f t="shared" si="100"/>
        <v>0</v>
      </c>
      <c r="AP269" s="2">
        <f t="shared" si="100"/>
        <v>0</v>
      </c>
      <c r="AS269" s="2">
        <f t="shared" si="99"/>
        <v>0</v>
      </c>
      <c r="BC269" s="24">
        <f t="shared" si="91"/>
        <v>0</v>
      </c>
      <c r="BD269" s="24">
        <f t="shared" si="91"/>
        <v>0</v>
      </c>
      <c r="BK269" s="24">
        <f t="shared" si="101"/>
        <v>0</v>
      </c>
      <c r="BL269" s="24">
        <f t="shared" si="101"/>
        <v>0</v>
      </c>
      <c r="BN269" s="29">
        <f t="shared" si="83"/>
        <v>0</v>
      </c>
    </row>
    <row r="270" spans="1:68" s="9" customFormat="1" ht="14.25">
      <c r="A270" s="18"/>
      <c r="B270" s="76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9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92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</row>
    <row r="271" spans="1:68" s="9" customFormat="1" ht="12.75">
      <c r="A271"/>
      <c r="B271" s="40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 s="19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T271"/>
      <c r="AU271"/>
      <c r="AV271"/>
      <c r="AW271"/>
      <c r="AX271"/>
      <c r="AY271"/>
      <c r="AZ271"/>
      <c r="BA271"/>
      <c r="BB271"/>
      <c r="BC271"/>
      <c r="BD271" s="71"/>
      <c r="BE271"/>
      <c r="BF271"/>
      <c r="BG271"/>
      <c r="BH271"/>
      <c r="BI271"/>
      <c r="BJ271"/>
      <c r="BK271"/>
      <c r="BL271"/>
      <c r="BM271"/>
      <c r="BN271"/>
      <c r="BO271"/>
      <c r="BP271"/>
    </row>
    <row r="272" spans="1:68" s="9" customFormat="1" ht="15">
      <c r="A272" s="16"/>
      <c r="B272" s="67" t="s">
        <v>67</v>
      </c>
      <c r="C272" s="16"/>
      <c r="D272" s="16"/>
      <c r="E272" s="17">
        <f>SUM(E274:E281)</f>
        <v>0</v>
      </c>
      <c r="F272" s="17">
        <f>SUM(F274:F281)</f>
        <v>0</v>
      </c>
      <c r="G272" s="17">
        <f aca="true" t="shared" si="103" ref="G272:N272">SUM(G274:G281)</f>
        <v>0</v>
      </c>
      <c r="H272" s="17">
        <f t="shared" si="103"/>
        <v>105900</v>
      </c>
      <c r="I272" s="17">
        <f t="shared" si="103"/>
        <v>32625</v>
      </c>
      <c r="J272" s="17">
        <f t="shared" si="103"/>
        <v>-40000</v>
      </c>
      <c r="K272" s="17">
        <f t="shared" si="103"/>
        <v>0</v>
      </c>
      <c r="L272" s="17">
        <f t="shared" si="103"/>
        <v>0</v>
      </c>
      <c r="M272" s="17">
        <f>SUM(M274:M281)</f>
        <v>0</v>
      </c>
      <c r="N272" s="17">
        <f t="shared" si="103"/>
        <v>0</v>
      </c>
      <c r="O272" s="16">
        <f>SUM(E272:N272)</f>
        <v>98525</v>
      </c>
      <c r="P272" s="16">
        <f>105900+32625</f>
        <v>138525</v>
      </c>
      <c r="Q272" s="17">
        <f aca="true" t="shared" si="104" ref="Q272:AS272">SUM(Q274:Q281)</f>
        <v>0</v>
      </c>
      <c r="R272" s="17">
        <f t="shared" si="104"/>
        <v>0</v>
      </c>
      <c r="S272" s="17">
        <f t="shared" si="104"/>
        <v>0</v>
      </c>
      <c r="T272" s="17">
        <f t="shared" si="104"/>
        <v>0</v>
      </c>
      <c r="U272" s="17">
        <f t="shared" si="104"/>
        <v>0</v>
      </c>
      <c r="V272" s="17">
        <f t="shared" si="104"/>
        <v>0</v>
      </c>
      <c r="W272" s="17">
        <f t="shared" si="104"/>
        <v>0</v>
      </c>
      <c r="X272" s="17">
        <f t="shared" si="104"/>
        <v>0</v>
      </c>
      <c r="Y272" s="17">
        <f t="shared" si="104"/>
        <v>0</v>
      </c>
      <c r="Z272" s="17">
        <f t="shared" si="104"/>
        <v>0</v>
      </c>
      <c r="AA272" s="17">
        <f t="shared" si="104"/>
        <v>0</v>
      </c>
      <c r="AB272" s="17">
        <f t="shared" si="104"/>
        <v>0</v>
      </c>
      <c r="AC272" s="17">
        <f t="shared" si="104"/>
        <v>0</v>
      </c>
      <c r="AD272" s="17">
        <f t="shared" si="104"/>
        <v>0</v>
      </c>
      <c r="AE272" s="17">
        <f t="shared" si="104"/>
        <v>0</v>
      </c>
      <c r="AF272" s="17">
        <f t="shared" si="104"/>
        <v>0</v>
      </c>
      <c r="AG272" s="17">
        <f t="shared" si="104"/>
        <v>0</v>
      </c>
      <c r="AH272" s="17">
        <f t="shared" si="104"/>
        <v>0</v>
      </c>
      <c r="AI272" s="17">
        <f t="shared" si="104"/>
        <v>0</v>
      </c>
      <c r="AJ272" s="17">
        <f>SUM(AJ274:AJ281)</f>
        <v>0</v>
      </c>
      <c r="AK272" s="17">
        <f t="shared" si="104"/>
        <v>0</v>
      </c>
      <c r="AL272" s="17">
        <f t="shared" si="104"/>
        <v>0</v>
      </c>
      <c r="AM272" s="17">
        <f t="shared" si="104"/>
        <v>0</v>
      </c>
      <c r="AN272" s="17">
        <f t="shared" si="104"/>
        <v>103735.99</v>
      </c>
      <c r="AO272" s="17">
        <f t="shared" si="104"/>
        <v>0</v>
      </c>
      <c r="AP272" s="17">
        <f t="shared" si="104"/>
        <v>103735.99</v>
      </c>
      <c r="AQ272" s="17"/>
      <c r="AR272" s="17"/>
      <c r="AS272" s="17">
        <f t="shared" si="104"/>
        <v>-5210.990000000002</v>
      </c>
      <c r="AT272" s="16"/>
      <c r="AU272" s="16"/>
      <c r="AV272" s="16"/>
      <c r="AW272" s="17">
        <f aca="true" t="shared" si="105" ref="AW272:BL272">SUM(AW274:AW281)</f>
        <v>0</v>
      </c>
      <c r="AX272" s="17">
        <f t="shared" si="105"/>
        <v>0</v>
      </c>
      <c r="AY272" s="17">
        <f t="shared" si="105"/>
        <v>0</v>
      </c>
      <c r="AZ272" s="17">
        <f t="shared" si="105"/>
        <v>0</v>
      </c>
      <c r="BA272" s="17">
        <f t="shared" si="105"/>
        <v>0</v>
      </c>
      <c r="BB272" s="17">
        <f t="shared" si="105"/>
        <v>0</v>
      </c>
      <c r="BC272" s="17">
        <f t="shared" si="105"/>
        <v>0</v>
      </c>
      <c r="BD272" s="17">
        <f t="shared" si="105"/>
        <v>103735.99</v>
      </c>
      <c r="BE272" s="17">
        <f t="shared" si="105"/>
        <v>0</v>
      </c>
      <c r="BF272" s="17">
        <f t="shared" si="105"/>
        <v>0</v>
      </c>
      <c r="BG272" s="17">
        <f t="shared" si="105"/>
        <v>0</v>
      </c>
      <c r="BH272" s="17">
        <f t="shared" si="105"/>
        <v>0</v>
      </c>
      <c r="BI272" s="17">
        <f t="shared" si="105"/>
        <v>0</v>
      </c>
      <c r="BJ272" s="17">
        <f t="shared" si="105"/>
        <v>0</v>
      </c>
      <c r="BK272" s="17">
        <f t="shared" si="105"/>
        <v>0</v>
      </c>
      <c r="BL272" s="17">
        <f t="shared" si="105"/>
        <v>103735.99</v>
      </c>
      <c r="BM272" s="17"/>
      <c r="BN272" s="17">
        <f>SUM(BN274:BN281)</f>
        <v>0</v>
      </c>
      <c r="BO272" s="16"/>
      <c r="BP272" s="16"/>
    </row>
    <row r="273" spans="2:16" ht="15">
      <c r="B273" s="79" t="s">
        <v>72</v>
      </c>
      <c r="C273" s="1" t="s">
        <v>70</v>
      </c>
      <c r="D273" s="2" t="s">
        <v>68</v>
      </c>
      <c r="E273" s="2" t="s">
        <v>69</v>
      </c>
      <c r="F273" s="2"/>
      <c r="G273" s="2"/>
      <c r="H273" s="2"/>
      <c r="P273" s="19">
        <f>P272-O272</f>
        <v>40000</v>
      </c>
    </row>
    <row r="274" spans="1:68" ht="14.25">
      <c r="A274" s="6">
        <v>1</v>
      </c>
      <c r="B274" s="61" t="s">
        <v>208</v>
      </c>
      <c r="C274" s="8">
        <v>56</v>
      </c>
      <c r="D274" s="7">
        <f>C274*150</f>
        <v>8400</v>
      </c>
      <c r="E274" s="7"/>
      <c r="F274" s="7"/>
      <c r="G274" s="7"/>
      <c r="H274" s="7">
        <f>D274*6</f>
        <v>50400</v>
      </c>
      <c r="I274" s="9"/>
      <c r="J274" s="9">
        <v>-10000</v>
      </c>
      <c r="K274" s="9"/>
      <c r="L274" s="9"/>
      <c r="M274" s="9"/>
      <c r="N274" s="9"/>
      <c r="O274" s="2">
        <f aca="true" t="shared" si="106" ref="O274:O281">SUM(E274:N274)</f>
        <v>40400</v>
      </c>
      <c r="P274" s="28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28"/>
      <c r="AM274" s="9"/>
      <c r="AN274" s="9">
        <f>103735.99-AN278</f>
        <v>77673.75</v>
      </c>
      <c r="AO274" s="2">
        <f aca="true" t="shared" si="107" ref="AO274:AP281">Q274+S274+U274+W274+Y274+AA274+AC274+AE274+AG274+AI274+AK274+AM274</f>
        <v>0</v>
      </c>
      <c r="AP274" s="2">
        <f t="shared" si="107"/>
        <v>77673.75</v>
      </c>
      <c r="AQ274" s="9"/>
      <c r="AR274" s="9"/>
      <c r="AS274" s="2">
        <f aca="true" t="shared" si="108" ref="AS274:AS281">O274-AP274</f>
        <v>-37273.75</v>
      </c>
      <c r="AT274" s="9"/>
      <c r="AU274" s="9"/>
      <c r="AV274" s="9"/>
      <c r="AW274" s="9"/>
      <c r="AX274" s="9"/>
      <c r="AY274" s="9"/>
      <c r="AZ274" s="9"/>
      <c r="BA274" s="9"/>
      <c r="BB274" s="9"/>
      <c r="BC274" s="70">
        <f aca="true" t="shared" si="109" ref="BC274:BD281">AO274</f>
        <v>0</v>
      </c>
      <c r="BD274" s="70">
        <f t="shared" si="109"/>
        <v>77673.75</v>
      </c>
      <c r="BE274" s="9"/>
      <c r="BF274" s="9"/>
      <c r="BG274" s="9"/>
      <c r="BH274" s="9"/>
      <c r="BI274" s="9"/>
      <c r="BJ274" s="9"/>
      <c r="BK274" s="26">
        <f>AW274+AY274+BA274+BC274+BE274+BG274+BI274</f>
        <v>0</v>
      </c>
      <c r="BL274" s="26">
        <f aca="true" t="shared" si="110" ref="BL274:BL281">AX274+AZ274+BB274+BD274+BF274+BH274+BJ274</f>
        <v>77673.75</v>
      </c>
      <c r="BM274" s="9"/>
      <c r="BN274" s="29">
        <f aca="true" t="shared" si="111" ref="BN274:BN281">BL274-AP274</f>
        <v>0</v>
      </c>
      <c r="BO274" s="9"/>
      <c r="BP274" s="9"/>
    </row>
    <row r="275" spans="1:76" s="19" customFormat="1" ht="14.25">
      <c r="A275" s="6">
        <v>2</v>
      </c>
      <c r="B275" s="61" t="s">
        <v>71</v>
      </c>
      <c r="C275" s="8">
        <v>7</v>
      </c>
      <c r="D275" s="7">
        <f aca="true" t="shared" si="112" ref="D275:D281">C275*150</f>
        <v>1050</v>
      </c>
      <c r="E275" s="7"/>
      <c r="F275" s="7"/>
      <c r="G275" s="7"/>
      <c r="H275" s="7">
        <f>D275*10</f>
        <v>10500</v>
      </c>
      <c r="I275" s="9"/>
      <c r="J275" s="9"/>
      <c r="K275" s="9"/>
      <c r="L275" s="9"/>
      <c r="M275" s="9"/>
      <c r="N275" s="9"/>
      <c r="O275" s="2">
        <f t="shared" si="106"/>
        <v>10500</v>
      </c>
      <c r="P275" s="28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28"/>
      <c r="AM275" s="9"/>
      <c r="AN275" s="9"/>
      <c r="AO275" s="2">
        <f t="shared" si="107"/>
        <v>0</v>
      </c>
      <c r="AP275" s="2">
        <f t="shared" si="107"/>
        <v>0</v>
      </c>
      <c r="AQ275" s="9"/>
      <c r="AR275" s="9"/>
      <c r="AS275" s="2">
        <f t="shared" si="108"/>
        <v>10500</v>
      </c>
      <c r="AT275" s="9"/>
      <c r="AU275" s="9"/>
      <c r="AV275" s="9"/>
      <c r="AW275" s="9"/>
      <c r="AX275" s="9"/>
      <c r="AY275" s="9"/>
      <c r="AZ275" s="9"/>
      <c r="BA275" s="9"/>
      <c r="BB275" s="9"/>
      <c r="BC275" s="70">
        <f t="shared" si="109"/>
        <v>0</v>
      </c>
      <c r="BD275" s="70">
        <f t="shared" si="109"/>
        <v>0</v>
      </c>
      <c r="BE275" s="9"/>
      <c r="BF275" s="9"/>
      <c r="BG275" s="9"/>
      <c r="BH275" s="9"/>
      <c r="BI275" s="9"/>
      <c r="BJ275" s="9"/>
      <c r="BK275" s="26">
        <f aca="true" t="shared" si="113" ref="BK275:BK280">AW275+AY275+BA275+BC275+BE275+BG275+BI275</f>
        <v>0</v>
      </c>
      <c r="BL275" s="26">
        <f t="shared" si="110"/>
        <v>0</v>
      </c>
      <c r="BM275" s="9"/>
      <c r="BN275" s="29">
        <f t="shared" si="111"/>
        <v>0</v>
      </c>
      <c r="BO275" s="9"/>
      <c r="BP275" s="9"/>
      <c r="BQ275" s="16"/>
      <c r="BR275" s="16"/>
      <c r="BS275" s="16"/>
      <c r="BT275" s="16"/>
      <c r="BU275" s="16"/>
      <c r="BV275" s="16"/>
      <c r="BW275" s="16"/>
      <c r="BX275" s="16"/>
    </row>
    <row r="276" spans="1:68" ht="14.25">
      <c r="A276" s="6">
        <v>3</v>
      </c>
      <c r="B276" s="61" t="s">
        <v>73</v>
      </c>
      <c r="C276" s="8">
        <v>2</v>
      </c>
      <c r="D276" s="7">
        <f t="shared" si="112"/>
        <v>300</v>
      </c>
      <c r="E276" s="7"/>
      <c r="F276" s="7"/>
      <c r="G276" s="7"/>
      <c r="H276" s="7">
        <f>D276*10</f>
        <v>3000</v>
      </c>
      <c r="I276" s="9"/>
      <c r="J276" s="9"/>
      <c r="K276" s="9"/>
      <c r="L276" s="9"/>
      <c r="M276" s="9"/>
      <c r="N276" s="9"/>
      <c r="O276" s="2">
        <f t="shared" si="106"/>
        <v>3000</v>
      </c>
      <c r="P276" s="28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28"/>
      <c r="AM276" s="9"/>
      <c r="AN276" s="9"/>
      <c r="AO276" s="2">
        <f t="shared" si="107"/>
        <v>0</v>
      </c>
      <c r="AP276" s="2">
        <f t="shared" si="107"/>
        <v>0</v>
      </c>
      <c r="AQ276" s="9"/>
      <c r="AR276" s="9"/>
      <c r="AS276" s="2">
        <f t="shared" si="108"/>
        <v>3000</v>
      </c>
      <c r="AT276" s="9"/>
      <c r="AU276" s="9"/>
      <c r="AV276" s="9"/>
      <c r="AW276" s="9"/>
      <c r="AX276" s="9"/>
      <c r="AY276" s="9"/>
      <c r="AZ276" s="9"/>
      <c r="BA276" s="9"/>
      <c r="BB276" s="9"/>
      <c r="BC276" s="70">
        <f t="shared" si="109"/>
        <v>0</v>
      </c>
      <c r="BD276" s="70">
        <f t="shared" si="109"/>
        <v>0</v>
      </c>
      <c r="BE276" s="9"/>
      <c r="BF276" s="9"/>
      <c r="BG276" s="9"/>
      <c r="BH276" s="9"/>
      <c r="BI276" s="9"/>
      <c r="BJ276" s="9"/>
      <c r="BK276" s="26">
        <f t="shared" si="113"/>
        <v>0</v>
      </c>
      <c r="BL276" s="26">
        <f t="shared" si="110"/>
        <v>0</v>
      </c>
      <c r="BM276" s="9"/>
      <c r="BN276" s="29">
        <f t="shared" si="111"/>
        <v>0</v>
      </c>
      <c r="BO276" s="9"/>
      <c r="BP276" s="9"/>
    </row>
    <row r="277" spans="1:68" ht="14.25">
      <c r="A277" s="6">
        <v>4</v>
      </c>
      <c r="B277" s="61" t="s">
        <v>209</v>
      </c>
      <c r="C277" s="8">
        <v>28</v>
      </c>
      <c r="D277" s="7">
        <f t="shared" si="112"/>
        <v>4200</v>
      </c>
      <c r="E277" s="7"/>
      <c r="F277" s="7"/>
      <c r="G277" s="7"/>
      <c r="H277" s="7">
        <f>D277*10</f>
        <v>42000</v>
      </c>
      <c r="I277" s="9"/>
      <c r="J277" s="9">
        <v>-20000</v>
      </c>
      <c r="K277" s="9"/>
      <c r="L277" s="9"/>
      <c r="M277" s="9"/>
      <c r="N277" s="9"/>
      <c r="O277" s="2">
        <f t="shared" si="106"/>
        <v>22000</v>
      </c>
      <c r="P277" s="28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28"/>
      <c r="AM277" s="9"/>
      <c r="AN277" s="9"/>
      <c r="AO277" s="2">
        <f t="shared" si="107"/>
        <v>0</v>
      </c>
      <c r="AP277" s="2">
        <f t="shared" si="107"/>
        <v>0</v>
      </c>
      <c r="AQ277" s="9"/>
      <c r="AR277" s="9"/>
      <c r="AS277" s="2">
        <f t="shared" si="108"/>
        <v>22000</v>
      </c>
      <c r="AT277" s="9"/>
      <c r="AU277" s="9"/>
      <c r="AV277" s="9"/>
      <c r="AW277" s="9"/>
      <c r="AX277" s="9"/>
      <c r="AY277" s="9"/>
      <c r="AZ277" s="9"/>
      <c r="BA277" s="9"/>
      <c r="BB277" s="9"/>
      <c r="BC277" s="70">
        <f t="shared" si="109"/>
        <v>0</v>
      </c>
      <c r="BD277" s="70">
        <f t="shared" si="109"/>
        <v>0</v>
      </c>
      <c r="BE277" s="9"/>
      <c r="BF277" s="9"/>
      <c r="BG277" s="9"/>
      <c r="BH277" s="9"/>
      <c r="BI277" s="9"/>
      <c r="BJ277" s="9"/>
      <c r="BK277" s="26">
        <f t="shared" si="113"/>
        <v>0</v>
      </c>
      <c r="BL277" s="26">
        <f t="shared" si="110"/>
        <v>0</v>
      </c>
      <c r="BM277" s="9"/>
      <c r="BN277" s="29">
        <f t="shared" si="111"/>
        <v>0</v>
      </c>
      <c r="BO277" s="9"/>
      <c r="BP277" s="9"/>
    </row>
    <row r="278" spans="1:68" ht="14.25">
      <c r="A278" s="6">
        <v>5</v>
      </c>
      <c r="B278" s="61" t="s">
        <v>213</v>
      </c>
      <c r="C278" s="8">
        <v>1</v>
      </c>
      <c r="D278" s="7">
        <f t="shared" si="112"/>
        <v>150</v>
      </c>
      <c r="E278" s="7"/>
      <c r="F278" s="7"/>
      <c r="G278" s="7"/>
      <c r="H278" s="7"/>
      <c r="I278" s="9">
        <f>D278*21.5</f>
        <v>3225</v>
      </c>
      <c r="J278" s="9"/>
      <c r="K278" s="9"/>
      <c r="L278" s="9"/>
      <c r="M278" s="9"/>
      <c r="N278" s="9"/>
      <c r="O278" s="2">
        <f t="shared" si="106"/>
        <v>3225</v>
      </c>
      <c r="P278" s="28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28"/>
      <c r="AM278" s="9"/>
      <c r="AN278" s="39">
        <f>20018.79+6043.45</f>
        <v>26062.24</v>
      </c>
      <c r="AO278" s="2">
        <f t="shared" si="107"/>
        <v>0</v>
      </c>
      <c r="AP278" s="2">
        <f t="shared" si="107"/>
        <v>26062.24</v>
      </c>
      <c r="AQ278" s="9"/>
      <c r="AR278" s="9"/>
      <c r="AS278" s="2">
        <f t="shared" si="108"/>
        <v>-22837.24</v>
      </c>
      <c r="AT278" s="9"/>
      <c r="AU278" s="9"/>
      <c r="AV278" s="9"/>
      <c r="AW278" s="9"/>
      <c r="AX278" s="9"/>
      <c r="AY278" s="9"/>
      <c r="AZ278" s="9"/>
      <c r="BA278" s="9"/>
      <c r="BB278" s="9"/>
      <c r="BC278" s="70">
        <f t="shared" si="109"/>
        <v>0</v>
      </c>
      <c r="BD278" s="70">
        <f t="shared" si="109"/>
        <v>26062.24</v>
      </c>
      <c r="BE278" s="9"/>
      <c r="BF278" s="9"/>
      <c r="BG278" s="9"/>
      <c r="BH278" s="9"/>
      <c r="BI278" s="9"/>
      <c r="BJ278" s="9"/>
      <c r="BK278" s="26">
        <f t="shared" si="113"/>
        <v>0</v>
      </c>
      <c r="BL278" s="26">
        <f t="shared" si="110"/>
        <v>26062.24</v>
      </c>
      <c r="BM278" s="9"/>
      <c r="BN278" s="29">
        <f t="shared" si="111"/>
        <v>0</v>
      </c>
      <c r="BO278" s="9"/>
      <c r="BP278" s="9"/>
    </row>
    <row r="279" spans="1:66" ht="14.25">
      <c r="A279" s="6">
        <v>6</v>
      </c>
      <c r="B279" s="61" t="s">
        <v>210</v>
      </c>
      <c r="C279" s="8">
        <v>1</v>
      </c>
      <c r="D279" s="7">
        <f t="shared" si="112"/>
        <v>150</v>
      </c>
      <c r="I279" s="9">
        <f>D279*21.5</f>
        <v>3225</v>
      </c>
      <c r="O279" s="2">
        <f t="shared" si="106"/>
        <v>3225</v>
      </c>
      <c r="AL279" s="19"/>
      <c r="AO279" s="2">
        <f t="shared" si="107"/>
        <v>0</v>
      </c>
      <c r="AP279" s="2">
        <f t="shared" si="107"/>
        <v>0</v>
      </c>
      <c r="AS279" s="2">
        <f t="shared" si="108"/>
        <v>3225</v>
      </c>
      <c r="BC279" s="70">
        <f t="shared" si="109"/>
        <v>0</v>
      </c>
      <c r="BD279" s="70">
        <f t="shared" si="109"/>
        <v>0</v>
      </c>
      <c r="BK279" s="26">
        <f t="shared" si="113"/>
        <v>0</v>
      </c>
      <c r="BL279" s="26">
        <f t="shared" si="110"/>
        <v>0</v>
      </c>
      <c r="BN279" s="29">
        <f t="shared" si="111"/>
        <v>0</v>
      </c>
    </row>
    <row r="280" spans="1:68" s="7" customFormat="1" ht="14.25">
      <c r="A280" s="6">
        <v>7</v>
      </c>
      <c r="B280" s="61" t="s">
        <v>211</v>
      </c>
      <c r="C280" s="8">
        <v>5</v>
      </c>
      <c r="D280" s="7">
        <f t="shared" si="112"/>
        <v>750</v>
      </c>
      <c r="E280"/>
      <c r="F280"/>
      <c r="G280"/>
      <c r="H280"/>
      <c r="I280" s="9">
        <f>D280*16</f>
        <v>12000</v>
      </c>
      <c r="J280">
        <v>-5000</v>
      </c>
      <c r="K280"/>
      <c r="L280"/>
      <c r="M280" s="9"/>
      <c r="N280"/>
      <c r="O280" s="2">
        <f t="shared" si="106"/>
        <v>7000</v>
      </c>
      <c r="P280" s="19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 s="19"/>
      <c r="AM280"/>
      <c r="AN280"/>
      <c r="AO280" s="2">
        <f t="shared" si="107"/>
        <v>0</v>
      </c>
      <c r="AP280" s="2">
        <f t="shared" si="107"/>
        <v>0</v>
      </c>
      <c r="AQ280"/>
      <c r="AR280"/>
      <c r="AS280" s="2">
        <f t="shared" si="108"/>
        <v>7000</v>
      </c>
      <c r="AT280"/>
      <c r="AU280"/>
      <c r="AV280"/>
      <c r="AW280"/>
      <c r="AX280"/>
      <c r="AY280"/>
      <c r="AZ280"/>
      <c r="BA280"/>
      <c r="BB280"/>
      <c r="BC280" s="70">
        <f t="shared" si="109"/>
        <v>0</v>
      </c>
      <c r="BD280" s="70">
        <f t="shared" si="109"/>
        <v>0</v>
      </c>
      <c r="BE280"/>
      <c r="BF280"/>
      <c r="BG280"/>
      <c r="BH280"/>
      <c r="BI280"/>
      <c r="BJ280"/>
      <c r="BK280" s="26">
        <f t="shared" si="113"/>
        <v>0</v>
      </c>
      <c r="BL280" s="26">
        <f t="shared" si="110"/>
        <v>0</v>
      </c>
      <c r="BM280"/>
      <c r="BN280" s="29">
        <f t="shared" si="111"/>
        <v>0</v>
      </c>
      <c r="BO280"/>
      <c r="BP280"/>
    </row>
    <row r="281" spans="1:68" s="7" customFormat="1" ht="14.25">
      <c r="A281" s="6">
        <v>8</v>
      </c>
      <c r="B281" s="61" t="s">
        <v>212</v>
      </c>
      <c r="C281" s="8">
        <v>9</v>
      </c>
      <c r="D281" s="7">
        <f t="shared" si="112"/>
        <v>1350</v>
      </c>
      <c r="E281"/>
      <c r="F281"/>
      <c r="G281"/>
      <c r="H281"/>
      <c r="I281" s="9">
        <f>D281*10.5</f>
        <v>14175</v>
      </c>
      <c r="J281">
        <v>-5000</v>
      </c>
      <c r="K281"/>
      <c r="L281"/>
      <c r="M281" s="9"/>
      <c r="N281"/>
      <c r="O281" s="2">
        <f t="shared" si="106"/>
        <v>9175</v>
      </c>
      <c r="P281" s="19"/>
      <c r="Q281"/>
      <c r="R281"/>
      <c r="S281"/>
      <c r="T281"/>
      <c r="U281"/>
      <c r="V281"/>
      <c r="W281"/>
      <c r="X281"/>
      <c r="Y281"/>
      <c r="Z281"/>
      <c r="AA281"/>
      <c r="AB281" s="9"/>
      <c r="AC281"/>
      <c r="AD281"/>
      <c r="AE281"/>
      <c r="AF281"/>
      <c r="AG281"/>
      <c r="AH281"/>
      <c r="AI281"/>
      <c r="AJ281"/>
      <c r="AK281"/>
      <c r="AL281"/>
      <c r="AM281"/>
      <c r="AN281"/>
      <c r="AO281" s="2">
        <f t="shared" si="107"/>
        <v>0</v>
      </c>
      <c r="AP281" s="2">
        <f t="shared" si="107"/>
        <v>0</v>
      </c>
      <c r="AQ281"/>
      <c r="AR281"/>
      <c r="AS281" s="2">
        <f t="shared" si="108"/>
        <v>9175</v>
      </c>
      <c r="AT281"/>
      <c r="AU281"/>
      <c r="AV281"/>
      <c r="AW281"/>
      <c r="AX281"/>
      <c r="AY281"/>
      <c r="AZ281"/>
      <c r="BA281"/>
      <c r="BB281"/>
      <c r="BC281" s="70">
        <f t="shared" si="109"/>
        <v>0</v>
      </c>
      <c r="BD281" s="70">
        <f t="shared" si="109"/>
        <v>0</v>
      </c>
      <c r="BE281"/>
      <c r="BF281"/>
      <c r="BG281"/>
      <c r="BH281"/>
      <c r="BI281"/>
      <c r="BJ281"/>
      <c r="BK281" s="26">
        <f>AW281+AY281+BA281+BC281+BE281+BG281+BI281</f>
        <v>0</v>
      </c>
      <c r="BL281" s="26">
        <f t="shared" si="110"/>
        <v>0</v>
      </c>
      <c r="BM281"/>
      <c r="BN281" s="29">
        <f t="shared" si="111"/>
        <v>0</v>
      </c>
      <c r="BO281"/>
      <c r="BP281"/>
    </row>
    <row r="282" spans="1:68" s="7" customFormat="1" ht="14.25">
      <c r="A282"/>
      <c r="B282" s="40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 s="19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T282"/>
      <c r="AU282"/>
      <c r="AV282"/>
      <c r="AW282"/>
      <c r="AX282"/>
      <c r="AY282"/>
      <c r="AZ282"/>
      <c r="BA282"/>
      <c r="BB282"/>
      <c r="BC282"/>
      <c r="BD282" s="71"/>
      <c r="BE282"/>
      <c r="BF282"/>
      <c r="BG282"/>
      <c r="BH282"/>
      <c r="BI282"/>
      <c r="BJ282"/>
      <c r="BK282"/>
      <c r="BL282"/>
      <c r="BM282"/>
      <c r="BN282"/>
      <c r="BO282"/>
      <c r="BP282"/>
    </row>
    <row r="283" spans="1:68" s="7" customFormat="1" ht="15">
      <c r="A283" s="16"/>
      <c r="B283" s="67" t="s">
        <v>137</v>
      </c>
      <c r="C283" s="16"/>
      <c r="D283" s="16"/>
      <c r="E283" s="30">
        <f aca="true" t="shared" si="114" ref="E283:N283">E285+E286+E287+E288+E289+E290+E291+E292+E293+E294+E299+E300+E301+E302+E303+E304+E305+E306+E307+E308+E309+E310+E311+E312+E326+E327+E328+E329+E330+E331+E332+E333+E334+E335+E336+E337+E338+E339+E340+E341+E342+E343</f>
        <v>0</v>
      </c>
      <c r="F283" s="30"/>
      <c r="G283" s="30">
        <f t="shared" si="114"/>
        <v>0</v>
      </c>
      <c r="H283" s="30">
        <f t="shared" si="114"/>
        <v>37040</v>
      </c>
      <c r="I283" s="30">
        <f t="shared" si="114"/>
        <v>0</v>
      </c>
      <c r="J283" s="30">
        <f t="shared" si="114"/>
        <v>87093</v>
      </c>
      <c r="K283" s="30">
        <f>K285+K286+K287+K288+K289+K290+K291+K292+K293+K294+K299+K300+K301+K302+K303+K304+K305+K306+K307+K308+K309+K310+K311+K312+K326+K327+K328+K329+K330+K331+K332+K333+K334+K335+K336+K337+K338+K339+K340+K341+K342+K343</f>
        <v>76639.06</v>
      </c>
      <c r="L283" s="30">
        <f t="shared" si="114"/>
        <v>0</v>
      </c>
      <c r="M283" s="30">
        <f t="shared" si="114"/>
        <v>0</v>
      </c>
      <c r="N283" s="30">
        <f t="shared" si="114"/>
        <v>0</v>
      </c>
      <c r="O283" s="34">
        <f>SUM(E283:N283)</f>
        <v>200772.06</v>
      </c>
      <c r="P283" s="34">
        <v>37040</v>
      </c>
      <c r="Q283" s="30">
        <f aca="true" t="shared" si="115" ref="Q283:AO283">Q285+Q286+Q287+Q288+Q289+Q290+Q291+Q292+Q293+Q294+Q299+Q300+Q301+Q302+Q303+Q304+Q305+Q306+Q307+Q308+Q309+Q310+Q311+Q312+Q326+Q327+Q328+Q329+Q330+Q331+Q332+Q333+Q334+Q335+Q336+Q337+Q338+Q339+Q340+Q341+Q342+Q343</f>
        <v>0</v>
      </c>
      <c r="R283" s="30">
        <f t="shared" si="115"/>
        <v>240</v>
      </c>
      <c r="S283" s="30">
        <f t="shared" si="115"/>
        <v>0</v>
      </c>
      <c r="T283" s="30">
        <f t="shared" si="115"/>
        <v>2340</v>
      </c>
      <c r="U283" s="30">
        <f t="shared" si="115"/>
        <v>0</v>
      </c>
      <c r="V283" s="30">
        <f t="shared" si="115"/>
        <v>52317.28</v>
      </c>
      <c r="W283" s="30">
        <f t="shared" si="115"/>
        <v>0</v>
      </c>
      <c r="X283" s="30">
        <f t="shared" si="115"/>
        <v>21500.68</v>
      </c>
      <c r="Y283" s="30">
        <f t="shared" si="115"/>
        <v>1236.81</v>
      </c>
      <c r="Z283" s="30">
        <f t="shared" si="115"/>
        <v>2068.12</v>
      </c>
      <c r="AA283" s="30">
        <f t="shared" si="115"/>
        <v>21</v>
      </c>
      <c r="AB283" s="30">
        <f t="shared" si="115"/>
        <v>3474.4</v>
      </c>
      <c r="AC283" s="30">
        <f t="shared" si="115"/>
        <v>0</v>
      </c>
      <c r="AD283" s="30">
        <f t="shared" si="115"/>
        <v>4160</v>
      </c>
      <c r="AE283" s="30">
        <f t="shared" si="115"/>
        <v>27</v>
      </c>
      <c r="AF283" s="30">
        <f t="shared" si="115"/>
        <v>81714</v>
      </c>
      <c r="AG283" s="30">
        <f t="shared" si="115"/>
        <v>38</v>
      </c>
      <c r="AH283" s="30">
        <f t="shared" si="115"/>
        <v>15688.5</v>
      </c>
      <c r="AI283" s="30">
        <f t="shared" si="115"/>
        <v>0</v>
      </c>
      <c r="AJ283" s="30">
        <f t="shared" si="115"/>
        <v>2200</v>
      </c>
      <c r="AK283" s="30">
        <f t="shared" si="115"/>
        <v>397.04</v>
      </c>
      <c r="AL283" s="30">
        <f t="shared" si="115"/>
        <v>2882.9</v>
      </c>
      <c r="AM283" s="30">
        <f t="shared" si="115"/>
        <v>1</v>
      </c>
      <c r="AN283" s="30">
        <f t="shared" si="115"/>
        <v>2660</v>
      </c>
      <c r="AO283" s="30">
        <f t="shared" si="115"/>
        <v>1720.85</v>
      </c>
      <c r="AP283" s="98">
        <f>AP285+AP286+AP287+AP288+AP289+AP290+AP291+AP292+AP293+AP294+AP299+AP300+AP301+AP302+AP303+AP304+AP305+AP306+AP307+AP308+AP309+AP310+AP311+AP312+AP326+AP327+AP328+AP329+AP330+AP331+AP332+AP333+AP334+AP335+AP336+AP337+AP338+AP339+AP340+AP341+AP342+AP343+AP344</f>
        <v>191245.87999999998</v>
      </c>
      <c r="AQ283" s="16"/>
      <c r="AR283" s="16"/>
      <c r="AS283" s="30">
        <f>AS285+AS286+AS287+AS288+AS289+AS290+AS291+AS292+AS293+AS294+AS299+AS300+AS301+AS302+AS303+AS304+AS305+AS306+AS307+AS308+AS309+AS310+AS311+AS312+AS326+AS327+AS328+AS329+AS330+AS331+AS332+AS333+AS334+AS335+AS336+AS337+AS338+AS339+AS340+AS341+AS342+AS343</f>
        <v>9526.180000000002</v>
      </c>
      <c r="AT283" s="16"/>
      <c r="AU283" s="16"/>
      <c r="AV283" s="16"/>
      <c r="AW283" s="98">
        <f aca="true" t="shared" si="116" ref="AW283:BJ283">AW285+AW286+AW287+AW288+AW289+AW290+AW291+AW292+AW293+AW294+AW299+AW300+AW301+AW302+AW303+AW304+AW305+AW306+AW307+AW308+AW309+AW310+AW311+AW312+AW326+AW327+AW328+AW329+AW330+AW331+AW332+AW333+AW334+AW335+AW336+AW337+AW338+AW339+AW340+AW341+AW342+AW343+AW344</f>
        <v>0</v>
      </c>
      <c r="AX283" s="98">
        <f t="shared" si="116"/>
        <v>0</v>
      </c>
      <c r="AY283" s="98">
        <f t="shared" si="116"/>
        <v>0</v>
      </c>
      <c r="AZ283" s="98">
        <f t="shared" si="116"/>
        <v>0</v>
      </c>
      <c r="BA283" s="98">
        <f t="shared" si="116"/>
        <v>0</v>
      </c>
      <c r="BB283" s="98">
        <f t="shared" si="116"/>
        <v>0</v>
      </c>
      <c r="BC283" s="98">
        <f t="shared" si="116"/>
        <v>1720.85</v>
      </c>
      <c r="BD283" s="98">
        <f t="shared" si="116"/>
        <v>114606.81999999999</v>
      </c>
      <c r="BE283" s="98">
        <f t="shared" si="116"/>
        <v>0</v>
      </c>
      <c r="BF283" s="98">
        <f t="shared" si="116"/>
        <v>76639.06</v>
      </c>
      <c r="BG283" s="98">
        <f t="shared" si="116"/>
        <v>0</v>
      </c>
      <c r="BH283" s="98">
        <f t="shared" si="116"/>
        <v>0</v>
      </c>
      <c r="BI283" s="98">
        <f t="shared" si="116"/>
        <v>0</v>
      </c>
      <c r="BJ283" s="98">
        <f t="shared" si="116"/>
        <v>0</v>
      </c>
      <c r="BK283" s="98">
        <f>BK285+BK286+BK287+BK288+BK289+BK290+BK291+BK292+BK293+BK294+BK299+BK300+BK301+BK302+BK303+BK304+BK305+BK306+BK307+BK308+BK309+BK310+BK311+BK312+BK326+BK327+BK328+BK329+BK330+BK331+BK332+BK333+BK334+BK335+BK336+BK337+BK338+BK339+BK340+BK341+BK342+BK343+BK344</f>
        <v>1720.85</v>
      </c>
      <c r="BL283" s="98">
        <f>BL285+BL286+BL287+BL288+BL289+BL290+BL291+BL292+BL293+BL294+BL299+BL300+BL301+BL302+BL303+BL304+BL305+BL306+BL307+BL308+BL309+BL310+BL311+BL312+BL326+BL327+BL328+BL329+BL330+BL331+BL332+BL333+BL334+BL335+BL336+BL337+BL338+BL339+BL340+BL341+BL342+BL343+BL344</f>
        <v>191245.87999999998</v>
      </c>
      <c r="BM283" s="98"/>
      <c r="BN283" s="98">
        <f>BN285+BN286+BN287+BN288+BN289+BN290+BN291+BN292+BN293+BN294+BN299+BN300+BN301+BN302+BN303+BN304+BN305+BN306+BN307+BN308+BN309+BN310+BN311+BN312+BN326+BN327+BN328+BN329+BN330+BN331+BN332+BN333+BN334+BN335+BN336+BN337+BN338+BN339+BN340+BN341+BN342+BN343+BN344</f>
        <v>0</v>
      </c>
      <c r="BO283" s="16"/>
      <c r="BP283" s="16"/>
    </row>
    <row r="284" spans="1:68" s="7" customFormat="1" ht="14.25">
      <c r="A284"/>
      <c r="B284" s="40"/>
      <c r="C284" t="s">
        <v>3</v>
      </c>
      <c r="D284"/>
      <c r="E284"/>
      <c r="F284"/>
      <c r="G284"/>
      <c r="H284"/>
      <c r="I284"/>
      <c r="J284"/>
      <c r="K284"/>
      <c r="L284"/>
      <c r="M284"/>
      <c r="N284"/>
      <c r="O284"/>
      <c r="P284" s="19">
        <f>P283-O283</f>
        <v>-163732.06</v>
      </c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T284"/>
      <c r="AU284"/>
      <c r="AV284"/>
      <c r="AW284"/>
      <c r="AX284"/>
      <c r="AY284"/>
      <c r="AZ284"/>
      <c r="BA284"/>
      <c r="BB284"/>
      <c r="BC284"/>
      <c r="BD284" s="71"/>
      <c r="BE284"/>
      <c r="BF284"/>
      <c r="BG284"/>
      <c r="BH284"/>
      <c r="BI284"/>
      <c r="BJ284"/>
      <c r="BK284"/>
      <c r="BL284"/>
      <c r="BM284"/>
      <c r="BN284"/>
      <c r="BO284"/>
      <c r="BP284"/>
    </row>
    <row r="285" spans="1:66" s="7" customFormat="1" ht="14.25">
      <c r="A285" s="7">
        <v>1</v>
      </c>
      <c r="B285" s="61" t="s">
        <v>74</v>
      </c>
      <c r="C285" s="3"/>
      <c r="I285" s="21"/>
      <c r="O285" s="2">
        <f aca="true" t="shared" si="117" ref="O285:O344">SUM(E285:N285)</f>
        <v>0</v>
      </c>
      <c r="P285" s="21"/>
      <c r="AO285" s="2">
        <f>Q285+S285+U285+W285+Y285+AA285+AC285+AE285+AG285+AI285+AK285+AM285</f>
        <v>0</v>
      </c>
      <c r="AP285" s="2">
        <f>R285+T285+V285+X285+Z285+AB285+AD285+AF285+AH285+AJ285+AL285+AN285</f>
        <v>0</v>
      </c>
      <c r="AS285" s="2">
        <f>O285-AP285</f>
        <v>0</v>
      </c>
      <c r="BC285" s="70">
        <f aca="true" t="shared" si="118" ref="BC285:BD297">AO285</f>
        <v>0</v>
      </c>
      <c r="BD285" s="70">
        <f t="shared" si="118"/>
        <v>0</v>
      </c>
      <c r="BK285" s="26">
        <f>AW285+AY285+BA285+BC285+BE285+BG285+BI285</f>
        <v>0</v>
      </c>
      <c r="BL285" s="26">
        <f aca="true" t="shared" si="119" ref="BL285:BL344">AX285+AZ285+BB285+BD285+BF285+BH285+BJ285</f>
        <v>0</v>
      </c>
      <c r="BN285" s="29">
        <f aca="true" t="shared" si="120" ref="BN285:BN348">BL285-AP285</f>
        <v>0</v>
      </c>
    </row>
    <row r="286" spans="1:66" s="7" customFormat="1" ht="14.25">
      <c r="A286" s="7">
        <f>A285+1</f>
        <v>2</v>
      </c>
      <c r="B286" s="61" t="s">
        <v>75</v>
      </c>
      <c r="H286" s="21">
        <v>500</v>
      </c>
      <c r="I286" s="21"/>
      <c r="O286" s="2">
        <f t="shared" si="117"/>
        <v>500</v>
      </c>
      <c r="P286" s="21"/>
      <c r="AO286" s="2">
        <f>Q286+S286+U286+W286+Y286+AA286+AC286+AE286+AG286+AI286+AK286+AM286</f>
        <v>0</v>
      </c>
      <c r="AP286" s="2">
        <f>R286+T286+V286+X286+Z286+AB286+AD286+AF286+AH286+AJ286+AL286+AN286</f>
        <v>0</v>
      </c>
      <c r="AS286" s="2">
        <f aca="true" t="shared" si="121" ref="AS286:AS349">O286-AP286</f>
        <v>500</v>
      </c>
      <c r="BC286" s="70">
        <f t="shared" si="118"/>
        <v>0</v>
      </c>
      <c r="BD286" s="70">
        <f t="shared" si="118"/>
        <v>0</v>
      </c>
      <c r="BK286" s="26">
        <f>AW286+AY286+BA286+BC286+BE286+BG286+BI286</f>
        <v>0</v>
      </c>
      <c r="BL286" s="26">
        <f t="shared" si="119"/>
        <v>0</v>
      </c>
      <c r="BN286" s="29">
        <f t="shared" si="120"/>
        <v>0</v>
      </c>
    </row>
    <row r="287" spans="1:66" s="7" customFormat="1" ht="14.25">
      <c r="A287" s="7">
        <f aca="true" t="shared" si="122" ref="A287:A294">A286+1</f>
        <v>3</v>
      </c>
      <c r="B287" s="61" t="s">
        <v>76</v>
      </c>
      <c r="C287" s="42">
        <v>2</v>
      </c>
      <c r="D287" s="7">
        <v>650</v>
      </c>
      <c r="H287" s="42">
        <f>C287*D287</f>
        <v>1300</v>
      </c>
      <c r="I287" s="21"/>
      <c r="J287" s="7">
        <v>276</v>
      </c>
      <c r="O287" s="2">
        <f t="shared" si="117"/>
        <v>1576</v>
      </c>
      <c r="P287" s="21"/>
      <c r="V287" s="7">
        <v>778</v>
      </c>
      <c r="AH287" s="7">
        <v>778</v>
      </c>
      <c r="AO287" s="2">
        <f aca="true" t="shared" si="123" ref="AO287:AP333">Q287+S287+U287+W287+Y287+AA287+AC287+AE287+AG287+AI287+AK287+AM287</f>
        <v>0</v>
      </c>
      <c r="AP287" s="2">
        <f t="shared" si="123"/>
        <v>1556</v>
      </c>
      <c r="AS287" s="2">
        <f t="shared" si="121"/>
        <v>20</v>
      </c>
      <c r="BC287" s="70">
        <f t="shared" si="118"/>
        <v>0</v>
      </c>
      <c r="BD287" s="70">
        <f t="shared" si="118"/>
        <v>1556</v>
      </c>
      <c r="BK287" s="26">
        <f aca="true" t="shared" si="124" ref="BK287:BK344">AW287+AY287+BA287+BC287+BE287+BG287+BI287</f>
        <v>0</v>
      </c>
      <c r="BL287" s="26">
        <f t="shared" si="119"/>
        <v>1556</v>
      </c>
      <c r="BN287" s="29">
        <f t="shared" si="120"/>
        <v>0</v>
      </c>
    </row>
    <row r="288" spans="1:66" s="7" customFormat="1" ht="28.5">
      <c r="A288" s="7">
        <f t="shared" si="122"/>
        <v>4</v>
      </c>
      <c r="B288" s="61" t="s">
        <v>421</v>
      </c>
      <c r="D288" s="42"/>
      <c r="H288" s="7">
        <v>7000</v>
      </c>
      <c r="I288" s="21"/>
      <c r="O288" s="2">
        <f t="shared" si="117"/>
        <v>7000</v>
      </c>
      <c r="P288" s="21"/>
      <c r="AO288" s="2">
        <f t="shared" si="123"/>
        <v>0</v>
      </c>
      <c r="AP288" s="2">
        <f t="shared" si="123"/>
        <v>0</v>
      </c>
      <c r="AS288" s="2">
        <f t="shared" si="121"/>
        <v>7000</v>
      </c>
      <c r="BC288" s="70">
        <f t="shared" si="118"/>
        <v>0</v>
      </c>
      <c r="BD288" s="70">
        <f t="shared" si="118"/>
        <v>0</v>
      </c>
      <c r="BK288" s="26">
        <f t="shared" si="124"/>
        <v>0</v>
      </c>
      <c r="BL288" s="26">
        <f t="shared" si="119"/>
        <v>0</v>
      </c>
      <c r="BN288" s="29">
        <f t="shared" si="120"/>
        <v>0</v>
      </c>
    </row>
    <row r="289" spans="1:66" s="7" customFormat="1" ht="14.25">
      <c r="A289" s="7">
        <f t="shared" si="122"/>
        <v>5</v>
      </c>
      <c r="B289" s="61" t="s">
        <v>171</v>
      </c>
      <c r="I289" s="21"/>
      <c r="O289" s="2">
        <f t="shared" si="117"/>
        <v>0</v>
      </c>
      <c r="P289" s="21"/>
      <c r="AO289" s="2">
        <f t="shared" si="123"/>
        <v>0</v>
      </c>
      <c r="AP289" s="2">
        <f t="shared" si="123"/>
        <v>0</v>
      </c>
      <c r="AS289" s="2">
        <f t="shared" si="121"/>
        <v>0</v>
      </c>
      <c r="BC289" s="70">
        <f t="shared" si="118"/>
        <v>0</v>
      </c>
      <c r="BD289" s="70">
        <f t="shared" si="118"/>
        <v>0</v>
      </c>
      <c r="BK289" s="26">
        <f t="shared" si="124"/>
        <v>0</v>
      </c>
      <c r="BL289" s="26">
        <f t="shared" si="119"/>
        <v>0</v>
      </c>
      <c r="BN289" s="29">
        <f t="shared" si="120"/>
        <v>0</v>
      </c>
    </row>
    <row r="290" spans="1:66" s="7" customFormat="1" ht="14.25">
      <c r="A290" s="7">
        <f t="shared" si="122"/>
        <v>6</v>
      </c>
      <c r="B290" s="61" t="s">
        <v>420</v>
      </c>
      <c r="C290" s="42">
        <v>2</v>
      </c>
      <c r="D290" s="7">
        <v>1200</v>
      </c>
      <c r="H290" s="7">
        <f>C290*D290</f>
        <v>2400</v>
      </c>
      <c r="I290" s="21"/>
      <c r="J290" s="7">
        <v>160</v>
      </c>
      <c r="O290" s="2">
        <f t="shared" si="117"/>
        <v>2560</v>
      </c>
      <c r="P290" s="21"/>
      <c r="T290" s="7">
        <v>1280</v>
      </c>
      <c r="AF290" s="7">
        <v>1280</v>
      </c>
      <c r="AO290" s="2">
        <f t="shared" si="123"/>
        <v>0</v>
      </c>
      <c r="AP290" s="2">
        <f t="shared" si="123"/>
        <v>2560</v>
      </c>
      <c r="AS290" s="2">
        <f t="shared" si="121"/>
        <v>0</v>
      </c>
      <c r="BC290" s="70">
        <f t="shared" si="118"/>
        <v>0</v>
      </c>
      <c r="BD290" s="70">
        <f t="shared" si="118"/>
        <v>2560</v>
      </c>
      <c r="BK290" s="26">
        <f t="shared" si="124"/>
        <v>0</v>
      </c>
      <c r="BL290" s="26">
        <f t="shared" si="119"/>
        <v>2560</v>
      </c>
      <c r="BN290" s="29">
        <f t="shared" si="120"/>
        <v>0</v>
      </c>
    </row>
    <row r="291" spans="1:68" ht="14.25">
      <c r="A291" s="7">
        <f t="shared" si="122"/>
        <v>7</v>
      </c>
      <c r="B291" s="61" t="s">
        <v>192</v>
      </c>
      <c r="C291" s="42">
        <v>10</v>
      </c>
      <c r="D291" s="21">
        <v>360</v>
      </c>
      <c r="E291" s="7"/>
      <c r="F291" s="7"/>
      <c r="G291" s="7"/>
      <c r="H291" s="7">
        <f>C291*D291</f>
        <v>3600</v>
      </c>
      <c r="I291" s="21"/>
      <c r="J291" s="7"/>
      <c r="K291" s="7"/>
      <c r="L291" s="7"/>
      <c r="M291" s="7"/>
      <c r="N291" s="7"/>
      <c r="O291" s="2">
        <f t="shared" si="117"/>
        <v>3600</v>
      </c>
      <c r="P291" s="21"/>
      <c r="Q291" s="7"/>
      <c r="R291" s="7"/>
      <c r="S291" s="7"/>
      <c r="T291" s="7">
        <v>320</v>
      </c>
      <c r="U291" s="7"/>
      <c r="V291" s="7">
        <v>320</v>
      </c>
      <c r="W291" s="7"/>
      <c r="X291" s="7">
        <v>320</v>
      </c>
      <c r="Y291" s="7"/>
      <c r="Z291" s="7"/>
      <c r="AA291" s="7"/>
      <c r="AB291" s="7">
        <v>320</v>
      </c>
      <c r="AC291" s="7"/>
      <c r="AD291" s="7">
        <v>320</v>
      </c>
      <c r="AE291" s="7"/>
      <c r="AF291" s="7"/>
      <c r="AG291" s="7"/>
      <c r="AH291" s="7"/>
      <c r="AI291" s="7"/>
      <c r="AJ291" s="7">
        <v>320</v>
      </c>
      <c r="AK291" s="7"/>
      <c r="AL291" s="7">
        <v>320</v>
      </c>
      <c r="AM291" s="7"/>
      <c r="AN291" s="7">
        <v>640</v>
      </c>
      <c r="AO291" s="2">
        <f t="shared" si="123"/>
        <v>0</v>
      </c>
      <c r="AP291" s="2">
        <f t="shared" si="123"/>
        <v>2880</v>
      </c>
      <c r="AQ291" s="7"/>
      <c r="AR291" s="7"/>
      <c r="AS291" s="2">
        <f t="shared" si="121"/>
        <v>720</v>
      </c>
      <c r="AT291" s="7"/>
      <c r="AU291" s="7"/>
      <c r="AV291" s="7"/>
      <c r="AW291" s="7"/>
      <c r="AX291" s="7"/>
      <c r="AY291" s="7"/>
      <c r="AZ291" s="7"/>
      <c r="BA291" s="7"/>
      <c r="BB291" s="7"/>
      <c r="BC291" s="70">
        <f t="shared" si="118"/>
        <v>0</v>
      </c>
      <c r="BD291" s="70">
        <f t="shared" si="118"/>
        <v>2880</v>
      </c>
      <c r="BE291" s="7"/>
      <c r="BF291" s="7"/>
      <c r="BG291" s="7"/>
      <c r="BH291" s="7"/>
      <c r="BI291" s="7"/>
      <c r="BJ291" s="7"/>
      <c r="BK291" s="26">
        <f t="shared" si="124"/>
        <v>0</v>
      </c>
      <c r="BL291" s="26">
        <f t="shared" si="119"/>
        <v>2880</v>
      </c>
      <c r="BM291" s="7"/>
      <c r="BN291" s="29">
        <f t="shared" si="120"/>
        <v>0</v>
      </c>
      <c r="BO291" s="7"/>
      <c r="BP291" s="7"/>
    </row>
    <row r="292" spans="1:68" ht="28.5">
      <c r="A292" s="7">
        <f t="shared" si="122"/>
        <v>8</v>
      </c>
      <c r="B292" s="61" t="s">
        <v>130</v>
      </c>
      <c r="C292" s="7"/>
      <c r="D292" s="7"/>
      <c r="E292" s="7"/>
      <c r="F292" s="7"/>
      <c r="G292" s="7"/>
      <c r="H292" s="7"/>
      <c r="I292" s="21"/>
      <c r="J292" s="7"/>
      <c r="K292" s="7">
        <f>76500+139.06</f>
        <v>76639.06</v>
      </c>
      <c r="L292" s="7"/>
      <c r="M292" s="7"/>
      <c r="N292" s="7"/>
      <c r="O292" s="2">
        <f t="shared" si="117"/>
        <v>76639.06</v>
      </c>
      <c r="P292" s="21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>
        <v>76639.06</v>
      </c>
      <c r="AG292" s="7"/>
      <c r="AH292" s="7"/>
      <c r="AI292" s="7"/>
      <c r="AJ292" s="7"/>
      <c r="AK292" s="7"/>
      <c r="AL292" s="7"/>
      <c r="AM292" s="7"/>
      <c r="AN292" s="7"/>
      <c r="AO292" s="2">
        <f t="shared" si="123"/>
        <v>0</v>
      </c>
      <c r="AP292" s="2">
        <f t="shared" si="123"/>
        <v>76639.06</v>
      </c>
      <c r="AQ292" s="7"/>
      <c r="AR292" s="7"/>
      <c r="AS292" s="2">
        <f t="shared" si="121"/>
        <v>0</v>
      </c>
      <c r="AT292" s="7"/>
      <c r="AU292" s="7"/>
      <c r="AV292" s="7"/>
      <c r="AW292" s="7"/>
      <c r="AX292" s="7"/>
      <c r="AY292" s="7"/>
      <c r="AZ292" s="7"/>
      <c r="BA292" s="7"/>
      <c r="BB292" s="7"/>
      <c r="BC292" s="70"/>
      <c r="BD292" s="70"/>
      <c r="BE292" s="7">
        <f>AO292</f>
        <v>0</v>
      </c>
      <c r="BF292" s="7">
        <f>AP292</f>
        <v>76639.06</v>
      </c>
      <c r="BG292" s="7"/>
      <c r="BH292" s="7"/>
      <c r="BI292" s="7"/>
      <c r="BJ292" s="7"/>
      <c r="BK292" s="26">
        <f t="shared" si="124"/>
        <v>0</v>
      </c>
      <c r="BL292" s="26">
        <f t="shared" si="119"/>
        <v>76639.06</v>
      </c>
      <c r="BM292" s="7"/>
      <c r="BN292" s="29">
        <f t="shared" si="120"/>
        <v>0</v>
      </c>
      <c r="BO292" s="7"/>
      <c r="BP292" s="7"/>
    </row>
    <row r="293" spans="1:68" ht="28.5">
      <c r="A293" s="7">
        <f t="shared" si="122"/>
        <v>9</v>
      </c>
      <c r="B293" s="61" t="s">
        <v>193</v>
      </c>
      <c r="C293" s="42">
        <v>12</v>
      </c>
      <c r="D293" s="7">
        <v>350</v>
      </c>
      <c r="E293" s="7"/>
      <c r="F293" s="7"/>
      <c r="G293" s="7"/>
      <c r="H293" s="7">
        <f>C293*D293</f>
        <v>4200</v>
      </c>
      <c r="I293" s="7"/>
      <c r="J293" s="7">
        <f>-630+930</f>
        <v>300</v>
      </c>
      <c r="K293" s="7"/>
      <c r="L293" s="7"/>
      <c r="M293" s="7"/>
      <c r="N293" s="7"/>
      <c r="O293" s="2">
        <f t="shared" si="117"/>
        <v>4500</v>
      </c>
      <c r="P293" s="21"/>
      <c r="Q293" s="7"/>
      <c r="R293" s="7">
        <v>240</v>
      </c>
      <c r="S293" s="7"/>
      <c r="T293" s="7">
        <v>240</v>
      </c>
      <c r="U293" s="7"/>
      <c r="V293" s="7">
        <v>240</v>
      </c>
      <c r="W293" s="7"/>
      <c r="X293" s="7">
        <v>240</v>
      </c>
      <c r="Y293" s="7"/>
      <c r="Z293" s="7">
        <v>240</v>
      </c>
      <c r="AA293" s="7"/>
      <c r="AB293" s="7">
        <v>240</v>
      </c>
      <c r="AC293" s="7"/>
      <c r="AD293" s="7">
        <v>240</v>
      </c>
      <c r="AE293" s="7"/>
      <c r="AF293" s="7">
        <v>240</v>
      </c>
      <c r="AG293" s="7"/>
      <c r="AH293" s="7">
        <v>240</v>
      </c>
      <c r="AI293" s="7"/>
      <c r="AJ293" s="7">
        <f>240+540</f>
        <v>780</v>
      </c>
      <c r="AK293" s="7"/>
      <c r="AL293" s="7">
        <f>240+540</f>
        <v>780</v>
      </c>
      <c r="AM293" s="7"/>
      <c r="AN293" s="21">
        <v>780</v>
      </c>
      <c r="AO293" s="2">
        <f t="shared" si="123"/>
        <v>0</v>
      </c>
      <c r="AP293" s="2">
        <f t="shared" si="123"/>
        <v>4500</v>
      </c>
      <c r="AQ293" s="7"/>
      <c r="AR293" s="7"/>
      <c r="AS293" s="2">
        <f t="shared" si="121"/>
        <v>0</v>
      </c>
      <c r="AT293" s="7"/>
      <c r="AU293" s="7">
        <v>2880</v>
      </c>
      <c r="AV293" s="4">
        <f>O293-AU293</f>
        <v>1620</v>
      </c>
      <c r="AW293" s="7"/>
      <c r="AX293" s="7"/>
      <c r="AY293" s="7"/>
      <c r="AZ293" s="7"/>
      <c r="BA293" s="7"/>
      <c r="BB293" s="7"/>
      <c r="BC293" s="70">
        <f t="shared" si="118"/>
        <v>0</v>
      </c>
      <c r="BD293" s="70">
        <f t="shared" si="118"/>
        <v>4500</v>
      </c>
      <c r="BE293" s="7"/>
      <c r="BF293" s="7"/>
      <c r="BG293" s="7"/>
      <c r="BH293" s="7"/>
      <c r="BI293" s="7"/>
      <c r="BJ293" s="7"/>
      <c r="BK293" s="26">
        <f t="shared" si="124"/>
        <v>0</v>
      </c>
      <c r="BL293" s="26">
        <f t="shared" si="119"/>
        <v>4500</v>
      </c>
      <c r="BM293" s="7"/>
      <c r="BN293" s="29">
        <f t="shared" si="120"/>
        <v>0</v>
      </c>
      <c r="BO293" s="7"/>
      <c r="BP293" s="7"/>
    </row>
    <row r="294" spans="1:68" ht="14.25">
      <c r="A294" s="7">
        <f t="shared" si="122"/>
        <v>10</v>
      </c>
      <c r="B294" s="61" t="s">
        <v>77</v>
      </c>
      <c r="C294" s="7"/>
      <c r="D294" s="7"/>
      <c r="E294" s="7">
        <f>ROUND(E295+E296+E297+E298,0)</f>
        <v>0</v>
      </c>
      <c r="F294" s="7">
        <f>ROUND(F295+F296+F297+F298,0)</f>
        <v>0</v>
      </c>
      <c r="G294" s="7"/>
      <c r="H294" s="7">
        <f>ROUND(H295+H296+H297+H298,0)</f>
        <v>6000</v>
      </c>
      <c r="I294" s="7">
        <f aca="true" t="shared" si="125" ref="I294:N294">ROUND(I295+I296+I297,0)</f>
        <v>0</v>
      </c>
      <c r="J294" s="7">
        <f t="shared" si="125"/>
        <v>0</v>
      </c>
      <c r="K294" s="7">
        <f t="shared" si="125"/>
        <v>0</v>
      </c>
      <c r="L294" s="7">
        <f t="shared" si="125"/>
        <v>0</v>
      </c>
      <c r="M294" s="7">
        <f t="shared" si="125"/>
        <v>0</v>
      </c>
      <c r="N294" s="7">
        <f t="shared" si="125"/>
        <v>0</v>
      </c>
      <c r="O294" s="2">
        <f t="shared" si="117"/>
        <v>6000</v>
      </c>
      <c r="P294" s="21"/>
      <c r="Q294" s="7"/>
      <c r="R294" s="7">
        <f>R295+R296+R297+R298</f>
        <v>0</v>
      </c>
      <c r="S294" s="7">
        <f aca="true" t="shared" si="126" ref="S294:AN294">S295+S296+S297+S298</f>
        <v>0</v>
      </c>
      <c r="T294" s="7">
        <f t="shared" si="126"/>
        <v>500</v>
      </c>
      <c r="U294" s="7">
        <f t="shared" si="126"/>
        <v>0</v>
      </c>
      <c r="V294" s="7">
        <f t="shared" si="126"/>
        <v>1000</v>
      </c>
      <c r="W294" s="7">
        <f t="shared" si="126"/>
        <v>0</v>
      </c>
      <c r="X294" s="7">
        <f t="shared" si="126"/>
        <v>500</v>
      </c>
      <c r="Y294" s="7">
        <f t="shared" si="126"/>
        <v>0</v>
      </c>
      <c r="Z294" s="7">
        <f t="shared" si="126"/>
        <v>500</v>
      </c>
      <c r="AA294" s="7">
        <f t="shared" si="126"/>
        <v>0</v>
      </c>
      <c r="AB294" s="7">
        <f t="shared" si="126"/>
        <v>500</v>
      </c>
      <c r="AC294" s="7">
        <f t="shared" si="126"/>
        <v>0</v>
      </c>
      <c r="AD294" s="7">
        <f t="shared" si="126"/>
        <v>500</v>
      </c>
      <c r="AE294" s="7">
        <f t="shared" si="126"/>
        <v>0</v>
      </c>
      <c r="AF294" s="7">
        <f t="shared" si="126"/>
        <v>500</v>
      </c>
      <c r="AG294" s="7">
        <f t="shared" si="126"/>
        <v>0</v>
      </c>
      <c r="AH294" s="7">
        <f t="shared" si="126"/>
        <v>500</v>
      </c>
      <c r="AI294" s="7">
        <f t="shared" si="126"/>
        <v>0</v>
      </c>
      <c r="AJ294" s="7">
        <f t="shared" si="126"/>
        <v>500</v>
      </c>
      <c r="AK294" s="7">
        <f t="shared" si="126"/>
        <v>0</v>
      </c>
      <c r="AL294" s="7">
        <f t="shared" si="126"/>
        <v>500</v>
      </c>
      <c r="AM294" s="7">
        <f t="shared" si="126"/>
        <v>0</v>
      </c>
      <c r="AN294" s="7">
        <f t="shared" si="126"/>
        <v>500</v>
      </c>
      <c r="AO294" s="2">
        <f t="shared" si="123"/>
        <v>0</v>
      </c>
      <c r="AP294" s="2">
        <f t="shared" si="123"/>
        <v>6000</v>
      </c>
      <c r="AQ294" s="7"/>
      <c r="AR294" s="7"/>
      <c r="AS294" s="2">
        <f t="shared" si="121"/>
        <v>0</v>
      </c>
      <c r="AT294" s="7"/>
      <c r="AU294" s="7"/>
      <c r="AV294" s="7"/>
      <c r="AW294" s="7"/>
      <c r="AX294" s="7"/>
      <c r="AY294" s="7"/>
      <c r="AZ294" s="7"/>
      <c r="BA294" s="7"/>
      <c r="BB294" s="7"/>
      <c r="BC294" s="70">
        <f t="shared" si="118"/>
        <v>0</v>
      </c>
      <c r="BD294" s="70">
        <f t="shared" si="118"/>
        <v>6000</v>
      </c>
      <c r="BE294" s="7"/>
      <c r="BF294" s="7"/>
      <c r="BG294" s="7"/>
      <c r="BH294" s="7"/>
      <c r="BI294" s="7"/>
      <c r="BJ294" s="7"/>
      <c r="BK294" s="26">
        <f t="shared" si="124"/>
        <v>0</v>
      </c>
      <c r="BL294" s="26">
        <f t="shared" si="119"/>
        <v>6000</v>
      </c>
      <c r="BM294" s="7"/>
      <c r="BN294" s="29">
        <f t="shared" si="120"/>
        <v>0</v>
      </c>
      <c r="BO294" s="7"/>
      <c r="BP294" s="7"/>
    </row>
    <row r="295" spans="1:68" s="7" customFormat="1" ht="14.25">
      <c r="A295"/>
      <c r="B295" s="52" t="s">
        <v>78</v>
      </c>
      <c r="C295" s="38">
        <v>12</v>
      </c>
      <c r="D295"/>
      <c r="G295"/>
      <c r="H295" s="7">
        <f>C295*D295</f>
        <v>0</v>
      </c>
      <c r="I295"/>
      <c r="J295"/>
      <c r="K295"/>
      <c r="L295"/>
      <c r="M295"/>
      <c r="N295"/>
      <c r="O295" s="2">
        <f t="shared" si="117"/>
        <v>0</v>
      </c>
      <c r="P295" s="19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 s="2">
        <f t="shared" si="123"/>
        <v>0</v>
      </c>
      <c r="AP295" s="2">
        <f t="shared" si="123"/>
        <v>0</v>
      </c>
      <c r="AQ295"/>
      <c r="AR295"/>
      <c r="AS295" s="2">
        <f t="shared" si="121"/>
        <v>0</v>
      </c>
      <c r="AT295"/>
      <c r="AU295"/>
      <c r="AV295"/>
      <c r="AW295"/>
      <c r="AX295"/>
      <c r="AY295"/>
      <c r="AZ295"/>
      <c r="BA295"/>
      <c r="BB295"/>
      <c r="BC295" s="70">
        <f t="shared" si="118"/>
        <v>0</v>
      </c>
      <c r="BD295" s="70">
        <f t="shared" si="118"/>
        <v>0</v>
      </c>
      <c r="BE295"/>
      <c r="BF295"/>
      <c r="BG295"/>
      <c r="BH295"/>
      <c r="BI295"/>
      <c r="BJ295"/>
      <c r="BK295" s="26">
        <f t="shared" si="124"/>
        <v>0</v>
      </c>
      <c r="BL295" s="26">
        <f t="shared" si="119"/>
        <v>0</v>
      </c>
      <c r="BM295"/>
      <c r="BN295" s="29">
        <f t="shared" si="120"/>
        <v>0</v>
      </c>
      <c r="BO295"/>
      <c r="BP295"/>
    </row>
    <row r="296" spans="1:68" s="4" customFormat="1" ht="14.25">
      <c r="A296"/>
      <c r="B296" s="52" t="s">
        <v>79</v>
      </c>
      <c r="C296" s="38">
        <v>12</v>
      </c>
      <c r="D296">
        <v>500</v>
      </c>
      <c r="E296" s="7"/>
      <c r="F296" s="7"/>
      <c r="G296"/>
      <c r="H296" s="7">
        <f>C296*D296</f>
        <v>6000</v>
      </c>
      <c r="I296"/>
      <c r="J296"/>
      <c r="K296"/>
      <c r="L296"/>
      <c r="M296"/>
      <c r="N296"/>
      <c r="O296" s="2">
        <f t="shared" si="117"/>
        <v>6000</v>
      </c>
      <c r="P296" s="19"/>
      <c r="Q296"/>
      <c r="R296"/>
      <c r="S296"/>
      <c r="T296">
        <v>500</v>
      </c>
      <c r="U296"/>
      <c r="V296">
        <v>1000</v>
      </c>
      <c r="W296"/>
      <c r="X296">
        <v>500</v>
      </c>
      <c r="Y296"/>
      <c r="Z296">
        <v>500</v>
      </c>
      <c r="AA296"/>
      <c r="AB296">
        <v>500</v>
      </c>
      <c r="AC296"/>
      <c r="AD296">
        <v>500</v>
      </c>
      <c r="AE296"/>
      <c r="AF296">
        <v>500</v>
      </c>
      <c r="AG296"/>
      <c r="AH296">
        <v>500</v>
      </c>
      <c r="AI296"/>
      <c r="AJ296">
        <v>500</v>
      </c>
      <c r="AK296"/>
      <c r="AL296">
        <v>500</v>
      </c>
      <c r="AM296"/>
      <c r="AN296">
        <v>500</v>
      </c>
      <c r="AO296" s="2">
        <f t="shared" si="123"/>
        <v>0</v>
      </c>
      <c r="AP296" s="2">
        <f t="shared" si="123"/>
        <v>6000</v>
      </c>
      <c r="AQ296"/>
      <c r="AR296"/>
      <c r="AS296" s="2">
        <f>O296-AP296</f>
        <v>0</v>
      </c>
      <c r="AT296"/>
      <c r="AU296">
        <f>500*12</f>
        <v>6000</v>
      </c>
      <c r="AV296" s="4">
        <f>O296-AU296</f>
        <v>0</v>
      </c>
      <c r="AW296"/>
      <c r="AX296"/>
      <c r="AY296"/>
      <c r="AZ296"/>
      <c r="BA296"/>
      <c r="BB296"/>
      <c r="BC296" s="70">
        <f t="shared" si="118"/>
        <v>0</v>
      </c>
      <c r="BD296" s="70">
        <f t="shared" si="118"/>
        <v>6000</v>
      </c>
      <c r="BE296"/>
      <c r="BF296"/>
      <c r="BG296"/>
      <c r="BH296"/>
      <c r="BI296"/>
      <c r="BJ296"/>
      <c r="BK296" s="26">
        <f t="shared" si="124"/>
        <v>0</v>
      </c>
      <c r="BL296" s="26">
        <f t="shared" si="119"/>
        <v>6000</v>
      </c>
      <c r="BM296"/>
      <c r="BN296" s="29">
        <f t="shared" si="120"/>
        <v>0</v>
      </c>
      <c r="BO296"/>
      <c r="BP296"/>
    </row>
    <row r="297" spans="1:68" s="4" customFormat="1" ht="14.25">
      <c r="A297"/>
      <c r="B297" s="52" t="s">
        <v>80</v>
      </c>
      <c r="C297"/>
      <c r="D297"/>
      <c r="E297" s="19"/>
      <c r="F297" s="19"/>
      <c r="G297" s="19"/>
      <c r="H297" s="19"/>
      <c r="I297"/>
      <c r="J297"/>
      <c r="K297"/>
      <c r="L297"/>
      <c r="M297"/>
      <c r="N297"/>
      <c r="O297" s="2">
        <f t="shared" si="117"/>
        <v>0</v>
      </c>
      <c r="P297" s="19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 s="2">
        <f t="shared" si="123"/>
        <v>0</v>
      </c>
      <c r="AP297" s="2">
        <f t="shared" si="123"/>
        <v>0</v>
      </c>
      <c r="AQ297"/>
      <c r="AR297"/>
      <c r="AS297" s="2">
        <f t="shared" si="121"/>
        <v>0</v>
      </c>
      <c r="AT297"/>
      <c r="AU297"/>
      <c r="AV297"/>
      <c r="AW297"/>
      <c r="AX297"/>
      <c r="AY297"/>
      <c r="AZ297"/>
      <c r="BA297"/>
      <c r="BB297"/>
      <c r="BC297" s="70">
        <f t="shared" si="118"/>
        <v>0</v>
      </c>
      <c r="BD297" s="70">
        <f t="shared" si="118"/>
        <v>0</v>
      </c>
      <c r="BE297"/>
      <c r="BF297"/>
      <c r="BG297"/>
      <c r="BH297"/>
      <c r="BI297"/>
      <c r="BJ297"/>
      <c r="BK297" s="26">
        <f t="shared" si="124"/>
        <v>0</v>
      </c>
      <c r="BL297" s="26">
        <f t="shared" si="119"/>
        <v>0</v>
      </c>
      <c r="BM297"/>
      <c r="BN297" s="29">
        <f t="shared" si="120"/>
        <v>0</v>
      </c>
      <c r="BO297"/>
      <c r="BP297"/>
    </row>
    <row r="298" spans="1:68" s="11" customFormat="1" ht="15">
      <c r="A298"/>
      <c r="B298" s="52" t="s">
        <v>163</v>
      </c>
      <c r="C298"/>
      <c r="D298"/>
      <c r="E298" s="19"/>
      <c r="F298" s="19"/>
      <c r="G298" s="19"/>
      <c r="H298" s="19"/>
      <c r="I298"/>
      <c r="J298"/>
      <c r="K298"/>
      <c r="L298"/>
      <c r="M298"/>
      <c r="N298"/>
      <c r="O298" s="2">
        <f t="shared" si="117"/>
        <v>0</v>
      </c>
      <c r="P298" s="19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 s="2">
        <f t="shared" si="123"/>
        <v>0</v>
      </c>
      <c r="AP298" s="2">
        <f t="shared" si="123"/>
        <v>0</v>
      </c>
      <c r="AQ298"/>
      <c r="AR298"/>
      <c r="AS298" s="2">
        <f t="shared" si="121"/>
        <v>0</v>
      </c>
      <c r="AT298"/>
      <c r="AU298"/>
      <c r="AV298"/>
      <c r="AW298"/>
      <c r="AX298"/>
      <c r="AY298"/>
      <c r="AZ298"/>
      <c r="BA298"/>
      <c r="BB298"/>
      <c r="BC298" s="70">
        <f>AO298</f>
        <v>0</v>
      </c>
      <c r="BD298" s="70">
        <f>AP298</f>
        <v>0</v>
      </c>
      <c r="BE298"/>
      <c r="BF298"/>
      <c r="BG298"/>
      <c r="BH298"/>
      <c r="BI298"/>
      <c r="BJ298"/>
      <c r="BK298" s="26">
        <f t="shared" si="124"/>
        <v>0</v>
      </c>
      <c r="BL298" s="26">
        <f t="shared" si="119"/>
        <v>0</v>
      </c>
      <c r="BM298"/>
      <c r="BN298" s="29">
        <f t="shared" si="120"/>
        <v>0</v>
      </c>
      <c r="BO298"/>
      <c r="BP298"/>
    </row>
    <row r="299" spans="1:66" s="7" customFormat="1" ht="14.25">
      <c r="A299" s="7">
        <f>A294+1</f>
        <v>11</v>
      </c>
      <c r="B299" s="61" t="s">
        <v>246</v>
      </c>
      <c r="E299" s="21"/>
      <c r="F299" s="21"/>
      <c r="G299" s="21"/>
      <c r="H299" s="21"/>
      <c r="O299" s="2">
        <f t="shared" si="117"/>
        <v>0</v>
      </c>
      <c r="P299" s="21"/>
      <c r="AO299" s="2">
        <f t="shared" si="123"/>
        <v>0</v>
      </c>
      <c r="AP299" s="2">
        <f t="shared" si="123"/>
        <v>0</v>
      </c>
      <c r="AS299" s="2">
        <f t="shared" si="121"/>
        <v>0</v>
      </c>
      <c r="BC299" s="70">
        <f aca="true" t="shared" si="127" ref="BC299:BD355">AO299</f>
        <v>0</v>
      </c>
      <c r="BD299" s="70">
        <f t="shared" si="127"/>
        <v>0</v>
      </c>
      <c r="BK299" s="26">
        <f t="shared" si="124"/>
        <v>0</v>
      </c>
      <c r="BL299" s="26">
        <f t="shared" si="119"/>
        <v>0</v>
      </c>
      <c r="BN299" s="29">
        <f t="shared" si="120"/>
        <v>0</v>
      </c>
    </row>
    <row r="300" spans="1:68" s="7" customFormat="1" ht="14.25">
      <c r="A300" s="7">
        <f>A299+1</f>
        <v>12</v>
      </c>
      <c r="B300" s="61" t="s">
        <v>81</v>
      </c>
      <c r="C300" s="36">
        <v>29</v>
      </c>
      <c r="D300" s="4">
        <v>116</v>
      </c>
      <c r="E300" s="23"/>
      <c r="F300" s="23"/>
      <c r="G300" s="23"/>
      <c r="I300" s="4"/>
      <c r="J300" s="4">
        <f>C300*D300-1595</f>
        <v>1769</v>
      </c>
      <c r="K300" s="4"/>
      <c r="L300" s="4"/>
      <c r="M300" s="4"/>
      <c r="N300" s="4"/>
      <c r="O300" s="2">
        <f t="shared" si="117"/>
        <v>1769</v>
      </c>
      <c r="P300" s="23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23">
        <v>27</v>
      </c>
      <c r="AF300" s="4">
        <v>1769</v>
      </c>
      <c r="AG300" s="4"/>
      <c r="AH300" s="4"/>
      <c r="AI300" s="4"/>
      <c r="AJ300" s="4"/>
      <c r="AK300" s="4"/>
      <c r="AL300" s="4"/>
      <c r="AM300" s="4"/>
      <c r="AN300" s="4"/>
      <c r="AO300" s="2">
        <f t="shared" si="123"/>
        <v>27</v>
      </c>
      <c r="AP300" s="2">
        <f t="shared" si="123"/>
        <v>1769</v>
      </c>
      <c r="AQ300" s="4"/>
      <c r="AR300" s="4"/>
      <c r="AS300" s="2">
        <f t="shared" si="121"/>
        <v>0</v>
      </c>
      <c r="AT300" s="4"/>
      <c r="AU300" s="4"/>
      <c r="AV300" s="4"/>
      <c r="AW300" s="4"/>
      <c r="AX300" s="4"/>
      <c r="AY300" s="4"/>
      <c r="AZ300" s="4"/>
      <c r="BA300" s="4"/>
      <c r="BB300" s="4"/>
      <c r="BC300" s="70">
        <f t="shared" si="127"/>
        <v>27</v>
      </c>
      <c r="BD300" s="70">
        <f t="shared" si="127"/>
        <v>1769</v>
      </c>
      <c r="BE300" s="4"/>
      <c r="BF300" s="4"/>
      <c r="BG300" s="4"/>
      <c r="BH300" s="4"/>
      <c r="BI300" s="4"/>
      <c r="BJ300" s="4"/>
      <c r="BK300" s="26">
        <f t="shared" si="124"/>
        <v>27</v>
      </c>
      <c r="BL300" s="26">
        <f t="shared" si="119"/>
        <v>1769</v>
      </c>
      <c r="BM300" s="4"/>
      <c r="BN300" s="29">
        <f t="shared" si="120"/>
        <v>0</v>
      </c>
      <c r="BO300" s="4"/>
      <c r="BP300" s="4"/>
    </row>
    <row r="301" spans="1:68" s="7" customFormat="1" ht="14.25">
      <c r="A301" s="7">
        <f aca="true" t="shared" si="128" ref="A301:A344">A300+1</f>
        <v>13</v>
      </c>
      <c r="B301" s="61" t="s">
        <v>82</v>
      </c>
      <c r="C301" s="23">
        <v>6</v>
      </c>
      <c r="D301" s="4"/>
      <c r="E301" s="23"/>
      <c r="F301" s="23"/>
      <c r="G301" s="23"/>
      <c r="H301" s="7">
        <f>C301*D301</f>
        <v>0</v>
      </c>
      <c r="I301" s="4"/>
      <c r="J301" s="4"/>
      <c r="K301" s="4"/>
      <c r="L301" s="4"/>
      <c r="M301" s="4"/>
      <c r="N301" s="4"/>
      <c r="O301" s="2">
        <f t="shared" si="117"/>
        <v>0</v>
      </c>
      <c r="P301" s="23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2">
        <f t="shared" si="123"/>
        <v>0</v>
      </c>
      <c r="AP301" s="2">
        <f t="shared" si="123"/>
        <v>0</v>
      </c>
      <c r="AQ301" s="4"/>
      <c r="AR301" s="4"/>
      <c r="AS301" s="2">
        <f t="shared" si="121"/>
        <v>0</v>
      </c>
      <c r="AT301" s="4"/>
      <c r="AU301" s="4"/>
      <c r="AV301" s="4">
        <f>O301-AU301</f>
        <v>0</v>
      </c>
      <c r="AW301" s="4"/>
      <c r="AX301" s="4"/>
      <c r="AY301" s="4"/>
      <c r="AZ301" s="4"/>
      <c r="BA301" s="4"/>
      <c r="BB301" s="4"/>
      <c r="BC301" s="70">
        <f t="shared" si="127"/>
        <v>0</v>
      </c>
      <c r="BD301" s="70">
        <f t="shared" si="127"/>
        <v>0</v>
      </c>
      <c r="BE301" s="4"/>
      <c r="BF301" s="4"/>
      <c r="BG301" s="4"/>
      <c r="BH301" s="4"/>
      <c r="BI301" s="4"/>
      <c r="BJ301" s="4"/>
      <c r="BK301" s="26">
        <f t="shared" si="124"/>
        <v>0</v>
      </c>
      <c r="BL301" s="26">
        <f t="shared" si="119"/>
        <v>0</v>
      </c>
      <c r="BM301" s="4"/>
      <c r="BN301" s="29">
        <f t="shared" si="120"/>
        <v>0</v>
      </c>
      <c r="BO301" s="4"/>
      <c r="BP301" s="4"/>
    </row>
    <row r="302" spans="1:68" s="7" customFormat="1" ht="29.25">
      <c r="A302" s="7">
        <f t="shared" si="128"/>
        <v>14</v>
      </c>
      <c r="B302" s="61" t="s">
        <v>434</v>
      </c>
      <c r="C302" s="21"/>
      <c r="E302" s="21"/>
      <c r="F302" s="21"/>
      <c r="G302" s="21"/>
      <c r="H302" s="21"/>
      <c r="I302" s="11"/>
      <c r="J302" s="11"/>
      <c r="K302" s="11"/>
      <c r="L302" s="11"/>
      <c r="M302" s="11"/>
      <c r="N302" s="11"/>
      <c r="O302" s="2">
        <f t="shared" si="117"/>
        <v>0</v>
      </c>
      <c r="P302" s="3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2">
        <f t="shared" si="123"/>
        <v>0</v>
      </c>
      <c r="AP302" s="2">
        <f t="shared" si="123"/>
        <v>0</v>
      </c>
      <c r="AQ302" s="11"/>
      <c r="AR302" s="11"/>
      <c r="AS302" s="2">
        <f t="shared" si="121"/>
        <v>0</v>
      </c>
      <c r="AT302" s="11"/>
      <c r="AU302" s="11"/>
      <c r="AV302" s="11"/>
      <c r="AW302" s="11"/>
      <c r="AX302" s="11"/>
      <c r="AY302" s="11"/>
      <c r="AZ302" s="11"/>
      <c r="BA302" s="11"/>
      <c r="BB302" s="11"/>
      <c r="BC302" s="70">
        <f t="shared" si="127"/>
        <v>0</v>
      </c>
      <c r="BD302" s="70">
        <f t="shared" si="127"/>
        <v>0</v>
      </c>
      <c r="BE302" s="11"/>
      <c r="BF302" s="11"/>
      <c r="BG302" s="11"/>
      <c r="BH302" s="11"/>
      <c r="BI302" s="11"/>
      <c r="BJ302" s="11"/>
      <c r="BK302" s="26">
        <f t="shared" si="124"/>
        <v>0</v>
      </c>
      <c r="BL302" s="26">
        <f t="shared" si="119"/>
        <v>0</v>
      </c>
      <c r="BM302" s="11"/>
      <c r="BN302" s="29">
        <f t="shared" si="120"/>
        <v>0</v>
      </c>
      <c r="BO302" s="11"/>
      <c r="BP302" s="11"/>
    </row>
    <row r="303" spans="1:66" s="7" customFormat="1" ht="28.5">
      <c r="A303" s="7">
        <f t="shared" si="128"/>
        <v>15</v>
      </c>
      <c r="B303" s="61" t="s">
        <v>247</v>
      </c>
      <c r="C303" s="21"/>
      <c r="E303" s="21"/>
      <c r="F303" s="21"/>
      <c r="G303" s="21"/>
      <c r="H303" s="21"/>
      <c r="O303" s="2">
        <f t="shared" si="117"/>
        <v>0</v>
      </c>
      <c r="P303" s="21"/>
      <c r="AO303" s="2">
        <f t="shared" si="123"/>
        <v>0</v>
      </c>
      <c r="AP303" s="2">
        <f t="shared" si="123"/>
        <v>0</v>
      </c>
      <c r="AS303" s="2">
        <f t="shared" si="121"/>
        <v>0</v>
      </c>
      <c r="BC303" s="70">
        <f t="shared" si="127"/>
        <v>0</v>
      </c>
      <c r="BD303" s="70">
        <f t="shared" si="127"/>
        <v>0</v>
      </c>
      <c r="BK303" s="26">
        <f t="shared" si="124"/>
        <v>0</v>
      </c>
      <c r="BL303" s="26">
        <f t="shared" si="119"/>
        <v>0</v>
      </c>
      <c r="BN303" s="29">
        <f t="shared" si="120"/>
        <v>0</v>
      </c>
    </row>
    <row r="304" spans="1:66" s="7" customFormat="1" ht="14.25">
      <c r="A304" s="7">
        <f t="shared" si="128"/>
        <v>16</v>
      </c>
      <c r="B304" s="61" t="s">
        <v>103</v>
      </c>
      <c r="E304" s="21"/>
      <c r="F304" s="21"/>
      <c r="G304" s="21"/>
      <c r="H304" s="21">
        <v>300</v>
      </c>
      <c r="O304" s="2">
        <f t="shared" si="117"/>
        <v>300</v>
      </c>
      <c r="P304" s="21"/>
      <c r="AK304" s="7">
        <v>1</v>
      </c>
      <c r="AL304" s="7">
        <v>354.9</v>
      </c>
      <c r="AO304" s="2">
        <f t="shared" si="123"/>
        <v>1</v>
      </c>
      <c r="AP304" s="2">
        <f t="shared" si="123"/>
        <v>354.9</v>
      </c>
      <c r="AS304" s="2">
        <f t="shared" si="121"/>
        <v>-54.89999999999998</v>
      </c>
      <c r="BC304" s="70">
        <f t="shared" si="127"/>
        <v>1</v>
      </c>
      <c r="BD304" s="70">
        <f t="shared" si="127"/>
        <v>354.9</v>
      </c>
      <c r="BK304" s="26">
        <f t="shared" si="124"/>
        <v>1</v>
      </c>
      <c r="BL304" s="26">
        <f t="shared" si="119"/>
        <v>354.9</v>
      </c>
      <c r="BN304" s="29">
        <f t="shared" si="120"/>
        <v>0</v>
      </c>
    </row>
    <row r="305" spans="1:66" s="7" customFormat="1" ht="14.25">
      <c r="A305" s="7">
        <f t="shared" si="128"/>
        <v>17</v>
      </c>
      <c r="B305" s="61" t="s">
        <v>83</v>
      </c>
      <c r="C305" s="42">
        <v>2</v>
      </c>
      <c r="D305" s="7">
        <v>50</v>
      </c>
      <c r="E305" s="21"/>
      <c r="F305" s="21"/>
      <c r="G305" s="21"/>
      <c r="H305" s="7">
        <f>C305*D305</f>
        <v>100</v>
      </c>
      <c r="O305" s="2">
        <f t="shared" si="117"/>
        <v>100</v>
      </c>
      <c r="P305" s="21"/>
      <c r="AO305" s="2">
        <f t="shared" si="123"/>
        <v>0</v>
      </c>
      <c r="AP305" s="2">
        <f t="shared" si="123"/>
        <v>0</v>
      </c>
      <c r="AS305" s="2">
        <f t="shared" si="121"/>
        <v>100</v>
      </c>
      <c r="BC305" s="70">
        <f t="shared" si="127"/>
        <v>0</v>
      </c>
      <c r="BD305" s="70">
        <f t="shared" si="127"/>
        <v>0</v>
      </c>
      <c r="BK305" s="26">
        <f t="shared" si="124"/>
        <v>0</v>
      </c>
      <c r="BL305" s="26">
        <f t="shared" si="119"/>
        <v>0</v>
      </c>
      <c r="BN305" s="29">
        <f t="shared" si="120"/>
        <v>0</v>
      </c>
    </row>
    <row r="306" spans="1:66" s="7" customFormat="1" ht="42.75">
      <c r="A306" s="7">
        <f t="shared" si="128"/>
        <v>18</v>
      </c>
      <c r="B306" s="61" t="s">
        <v>366</v>
      </c>
      <c r="C306" s="42">
        <v>1</v>
      </c>
      <c r="G306" s="21"/>
      <c r="J306" s="7">
        <f>13070-2660</f>
        <v>10410</v>
      </c>
      <c r="O306" s="2">
        <f t="shared" si="117"/>
        <v>10410</v>
      </c>
      <c r="P306" s="21"/>
      <c r="X306" s="7">
        <v>10409.13</v>
      </c>
      <c r="AO306" s="2">
        <f t="shared" si="123"/>
        <v>0</v>
      </c>
      <c r="AP306" s="2">
        <f t="shared" si="123"/>
        <v>10409.13</v>
      </c>
      <c r="AS306" s="2">
        <f>O306-AP306</f>
        <v>0.8700000000008004</v>
      </c>
      <c r="AU306" s="7">
        <v>10409.13</v>
      </c>
      <c r="AV306" s="4">
        <f>O306-AU306</f>
        <v>0.8700000000008004</v>
      </c>
      <c r="BC306" s="70">
        <f t="shared" si="127"/>
        <v>0</v>
      </c>
      <c r="BD306" s="70">
        <f t="shared" si="127"/>
        <v>10409.13</v>
      </c>
      <c r="BK306" s="26">
        <f t="shared" si="124"/>
        <v>0</v>
      </c>
      <c r="BL306" s="26">
        <f t="shared" si="119"/>
        <v>10409.13</v>
      </c>
      <c r="BN306" s="29">
        <f t="shared" si="120"/>
        <v>0</v>
      </c>
    </row>
    <row r="307" spans="1:66" s="7" customFormat="1" ht="14.25">
      <c r="A307" s="7">
        <f t="shared" si="128"/>
        <v>19</v>
      </c>
      <c r="B307" s="61" t="s">
        <v>84</v>
      </c>
      <c r="C307" s="3"/>
      <c r="E307" s="21"/>
      <c r="F307" s="21"/>
      <c r="G307" s="21"/>
      <c r="H307" s="21"/>
      <c r="O307" s="2">
        <f t="shared" si="117"/>
        <v>0</v>
      </c>
      <c r="P307" s="21"/>
      <c r="AO307" s="2">
        <f t="shared" si="123"/>
        <v>0</v>
      </c>
      <c r="AP307" s="2">
        <f t="shared" si="123"/>
        <v>0</v>
      </c>
      <c r="AS307" s="2">
        <f t="shared" si="121"/>
        <v>0</v>
      </c>
      <c r="BC307" s="70">
        <f t="shared" si="127"/>
        <v>0</v>
      </c>
      <c r="BD307" s="70">
        <f t="shared" si="127"/>
        <v>0</v>
      </c>
      <c r="BK307" s="26">
        <f t="shared" si="124"/>
        <v>0</v>
      </c>
      <c r="BL307" s="26">
        <f t="shared" si="119"/>
        <v>0</v>
      </c>
      <c r="BN307" s="29">
        <f t="shared" si="120"/>
        <v>0</v>
      </c>
    </row>
    <row r="308" spans="1:66" s="7" customFormat="1" ht="14.25">
      <c r="A308" s="7">
        <f t="shared" si="128"/>
        <v>20</v>
      </c>
      <c r="B308" s="61" t="s">
        <v>131</v>
      </c>
      <c r="E308" s="21"/>
      <c r="F308" s="42"/>
      <c r="G308" s="21"/>
      <c r="H308" s="21"/>
      <c r="J308" s="7">
        <v>2500</v>
      </c>
      <c r="O308" s="2">
        <f t="shared" si="117"/>
        <v>2500</v>
      </c>
      <c r="P308" s="21"/>
      <c r="AD308" s="7">
        <v>2500</v>
      </c>
      <c r="AO308" s="2">
        <f t="shared" si="123"/>
        <v>0</v>
      </c>
      <c r="AP308" s="2">
        <f t="shared" si="123"/>
        <v>2500</v>
      </c>
      <c r="AS308" s="2">
        <f t="shared" si="121"/>
        <v>0</v>
      </c>
      <c r="BC308" s="70">
        <f t="shared" si="127"/>
        <v>0</v>
      </c>
      <c r="BD308" s="70">
        <f t="shared" si="127"/>
        <v>2500</v>
      </c>
      <c r="BK308" s="26">
        <f t="shared" si="124"/>
        <v>0</v>
      </c>
      <c r="BL308" s="26">
        <f t="shared" si="119"/>
        <v>2500</v>
      </c>
      <c r="BN308" s="29">
        <f t="shared" si="120"/>
        <v>0</v>
      </c>
    </row>
    <row r="309" spans="1:66" s="7" customFormat="1" ht="28.5">
      <c r="A309" s="7">
        <f t="shared" si="128"/>
        <v>21</v>
      </c>
      <c r="B309" s="61" t="s">
        <v>194</v>
      </c>
      <c r="E309" s="21"/>
      <c r="F309" s="21"/>
      <c r="G309" s="21"/>
      <c r="H309" s="21"/>
      <c r="O309" s="2">
        <f t="shared" si="117"/>
        <v>0</v>
      </c>
      <c r="P309" s="21"/>
      <c r="AO309" s="2">
        <f t="shared" si="123"/>
        <v>0</v>
      </c>
      <c r="AP309" s="2">
        <f t="shared" si="123"/>
        <v>0</v>
      </c>
      <c r="AS309" s="2">
        <f t="shared" si="121"/>
        <v>0</v>
      </c>
      <c r="BC309" s="70">
        <f t="shared" si="127"/>
        <v>0</v>
      </c>
      <c r="BD309" s="70">
        <f t="shared" si="127"/>
        <v>0</v>
      </c>
      <c r="BK309" s="26">
        <f t="shared" si="124"/>
        <v>0</v>
      </c>
      <c r="BL309" s="26">
        <f t="shared" si="119"/>
        <v>0</v>
      </c>
      <c r="BN309" s="29">
        <f t="shared" si="120"/>
        <v>0</v>
      </c>
    </row>
    <row r="310" spans="1:66" s="7" customFormat="1" ht="14.25">
      <c r="A310" s="7">
        <f t="shared" si="128"/>
        <v>22</v>
      </c>
      <c r="B310" s="61"/>
      <c r="E310" s="21"/>
      <c r="F310" s="21"/>
      <c r="G310" s="21"/>
      <c r="H310" s="21"/>
      <c r="O310" s="2">
        <f t="shared" si="117"/>
        <v>0</v>
      </c>
      <c r="P310" s="21"/>
      <c r="AO310" s="2">
        <f t="shared" si="123"/>
        <v>0</v>
      </c>
      <c r="AP310" s="2">
        <f t="shared" si="123"/>
        <v>0</v>
      </c>
      <c r="AS310" s="2">
        <f t="shared" si="121"/>
        <v>0</v>
      </c>
      <c r="BC310" s="70">
        <f t="shared" si="127"/>
        <v>0</v>
      </c>
      <c r="BD310" s="70">
        <f t="shared" si="127"/>
        <v>0</v>
      </c>
      <c r="BK310" s="26">
        <f t="shared" si="124"/>
        <v>0</v>
      </c>
      <c r="BL310" s="26">
        <f t="shared" si="119"/>
        <v>0</v>
      </c>
      <c r="BN310" s="29">
        <f t="shared" si="120"/>
        <v>0</v>
      </c>
    </row>
    <row r="311" spans="1:66" s="7" customFormat="1" ht="28.5">
      <c r="A311" s="7">
        <f t="shared" si="128"/>
        <v>23</v>
      </c>
      <c r="B311" s="61" t="s">
        <v>85</v>
      </c>
      <c r="C311" s="3"/>
      <c r="D311" s="3"/>
      <c r="E311" s="21"/>
      <c r="F311" s="42"/>
      <c r="G311" s="21"/>
      <c r="H311" s="21"/>
      <c r="O311" s="2">
        <f t="shared" si="117"/>
        <v>0</v>
      </c>
      <c r="P311" s="21"/>
      <c r="AO311" s="2">
        <f t="shared" si="123"/>
        <v>0</v>
      </c>
      <c r="AP311" s="2">
        <f t="shared" si="123"/>
        <v>0</v>
      </c>
      <c r="AS311" s="2">
        <f t="shared" si="121"/>
        <v>0</v>
      </c>
      <c r="BC311" s="70">
        <f t="shared" si="127"/>
        <v>0</v>
      </c>
      <c r="BD311" s="70">
        <f t="shared" si="127"/>
        <v>0</v>
      </c>
      <c r="BK311" s="26">
        <f t="shared" si="124"/>
        <v>0</v>
      </c>
      <c r="BL311" s="26">
        <f t="shared" si="119"/>
        <v>0</v>
      </c>
      <c r="BN311" s="29">
        <f t="shared" si="120"/>
        <v>0</v>
      </c>
    </row>
    <row r="312" spans="1:66" s="7" customFormat="1" ht="14.25">
      <c r="A312" s="7">
        <f t="shared" si="128"/>
        <v>24</v>
      </c>
      <c r="B312" s="61" t="s">
        <v>195</v>
      </c>
      <c r="C312" s="3"/>
      <c r="D312" s="3"/>
      <c r="E312" s="7">
        <f>SUM(E313:E325)</f>
        <v>0</v>
      </c>
      <c r="F312" s="7">
        <f>SUM(F313:F325)</f>
        <v>0</v>
      </c>
      <c r="G312" s="7">
        <f aca="true" t="shared" si="129" ref="G312:O312">SUM(G313:G325)</f>
        <v>0</v>
      </c>
      <c r="H312" s="7">
        <f t="shared" si="129"/>
        <v>0</v>
      </c>
      <c r="I312" s="7">
        <f t="shared" si="129"/>
        <v>0</v>
      </c>
      <c r="J312" s="7">
        <f t="shared" si="129"/>
        <v>49980</v>
      </c>
      <c r="K312" s="7">
        <f t="shared" si="129"/>
        <v>0</v>
      </c>
      <c r="L312" s="7">
        <f t="shared" si="129"/>
        <v>0</v>
      </c>
      <c r="M312" s="7">
        <f t="shared" si="129"/>
        <v>0</v>
      </c>
      <c r="N312" s="7">
        <f t="shared" si="129"/>
        <v>0</v>
      </c>
      <c r="O312" s="7">
        <f t="shared" si="129"/>
        <v>49980</v>
      </c>
      <c r="P312" s="21"/>
      <c r="Q312" s="7">
        <f aca="true" t="shared" si="130" ref="Q312:AN312">SUM(Q313:Q324)</f>
        <v>0</v>
      </c>
      <c r="R312" s="7">
        <f t="shared" si="130"/>
        <v>0</v>
      </c>
      <c r="S312" s="7">
        <f t="shared" si="130"/>
        <v>0</v>
      </c>
      <c r="T312" s="7">
        <f t="shared" si="130"/>
        <v>0</v>
      </c>
      <c r="U312" s="7">
        <f t="shared" si="130"/>
        <v>0</v>
      </c>
      <c r="V312" s="7">
        <f t="shared" si="130"/>
        <v>49979.28</v>
      </c>
      <c r="W312" s="7">
        <f t="shared" si="130"/>
        <v>0</v>
      </c>
      <c r="X312" s="7">
        <f t="shared" si="130"/>
        <v>0</v>
      </c>
      <c r="Y312" s="7">
        <f t="shared" si="130"/>
        <v>0</v>
      </c>
      <c r="Z312" s="7">
        <f t="shared" si="130"/>
        <v>0</v>
      </c>
      <c r="AA312" s="7">
        <f t="shared" si="130"/>
        <v>0</v>
      </c>
      <c r="AB312" s="7">
        <f t="shared" si="130"/>
        <v>0</v>
      </c>
      <c r="AC312" s="7">
        <f t="shared" si="130"/>
        <v>0</v>
      </c>
      <c r="AD312" s="7">
        <f t="shared" si="130"/>
        <v>0</v>
      </c>
      <c r="AE312" s="7">
        <f t="shared" si="130"/>
        <v>0</v>
      </c>
      <c r="AF312" s="7">
        <f t="shared" si="130"/>
        <v>0</v>
      </c>
      <c r="AG312" s="7">
        <f t="shared" si="130"/>
        <v>0</v>
      </c>
      <c r="AH312" s="7">
        <f t="shared" si="130"/>
        <v>0</v>
      </c>
      <c r="AI312" s="7">
        <f t="shared" si="130"/>
        <v>0</v>
      </c>
      <c r="AJ312" s="7">
        <f t="shared" si="130"/>
        <v>0</v>
      </c>
      <c r="AK312" s="7">
        <f t="shared" si="130"/>
        <v>0</v>
      </c>
      <c r="AL312" s="7">
        <f t="shared" si="130"/>
        <v>0</v>
      </c>
      <c r="AM312" s="7">
        <f t="shared" si="130"/>
        <v>0</v>
      </c>
      <c r="AN312" s="7">
        <f t="shared" si="130"/>
        <v>0</v>
      </c>
      <c r="AO312" s="7">
        <f>SUM(AO313:AO325)</f>
        <v>0</v>
      </c>
      <c r="AP312" s="7">
        <f>SUM(AP313:AP325)</f>
        <v>49979.28</v>
      </c>
      <c r="AS312" s="2">
        <f t="shared" si="121"/>
        <v>0.7200000000011642</v>
      </c>
      <c r="BC312" s="70">
        <f t="shared" si="127"/>
        <v>0</v>
      </c>
      <c r="BD312" s="70">
        <f t="shared" si="127"/>
        <v>49979.28</v>
      </c>
      <c r="BK312" s="26">
        <f t="shared" si="124"/>
        <v>0</v>
      </c>
      <c r="BL312" s="26">
        <f t="shared" si="119"/>
        <v>49979.28</v>
      </c>
      <c r="BN312" s="29">
        <f t="shared" si="120"/>
        <v>0</v>
      </c>
    </row>
    <row r="313" spans="2:66" s="7" customFormat="1" ht="42.75">
      <c r="B313" s="61" t="s">
        <v>364</v>
      </c>
      <c r="C313" s="3"/>
      <c r="D313" s="3"/>
      <c r="O313" s="2">
        <f>SUM(E313:N313)</f>
        <v>0</v>
      </c>
      <c r="P313" s="21"/>
      <c r="AO313" s="2">
        <f t="shared" si="123"/>
        <v>0</v>
      </c>
      <c r="AP313" s="2">
        <f t="shared" si="123"/>
        <v>0</v>
      </c>
      <c r="AS313" s="2">
        <f t="shared" si="121"/>
        <v>0</v>
      </c>
      <c r="BC313" s="70">
        <f t="shared" si="127"/>
        <v>0</v>
      </c>
      <c r="BD313" s="70">
        <f t="shared" si="127"/>
        <v>0</v>
      </c>
      <c r="BK313" s="26">
        <f t="shared" si="124"/>
        <v>0</v>
      </c>
      <c r="BL313" s="26">
        <f t="shared" si="119"/>
        <v>0</v>
      </c>
      <c r="BN313" s="29">
        <f t="shared" si="120"/>
        <v>0</v>
      </c>
    </row>
    <row r="314" spans="2:76" s="7" customFormat="1" ht="42.75">
      <c r="B314" s="61" t="s">
        <v>365</v>
      </c>
      <c r="C314" s="3"/>
      <c r="D314" s="3"/>
      <c r="J314" s="7">
        <v>49980</v>
      </c>
      <c r="O314" s="2">
        <f t="shared" si="117"/>
        <v>49980</v>
      </c>
      <c r="P314" s="21"/>
      <c r="V314" s="7">
        <v>49979.28</v>
      </c>
      <c r="AO314" s="2">
        <f t="shared" si="123"/>
        <v>0</v>
      </c>
      <c r="AP314" s="2">
        <f t="shared" si="123"/>
        <v>49979.28</v>
      </c>
      <c r="AS314" s="2">
        <f t="shared" si="121"/>
        <v>0.7200000000011642</v>
      </c>
      <c r="BC314" s="70">
        <f t="shared" si="127"/>
        <v>0</v>
      </c>
      <c r="BD314" s="70">
        <f t="shared" si="127"/>
        <v>49979.28</v>
      </c>
      <c r="BK314" s="26">
        <f t="shared" si="124"/>
        <v>0</v>
      </c>
      <c r="BL314" s="26">
        <f t="shared" si="119"/>
        <v>49979.28</v>
      </c>
      <c r="BN314" s="29">
        <f t="shared" si="120"/>
        <v>0</v>
      </c>
      <c r="BQ314" s="21"/>
      <c r="BR314" s="21"/>
      <c r="BS314" s="21"/>
      <c r="BT314" s="21"/>
      <c r="BU314" s="21"/>
      <c r="BV314" s="21"/>
      <c r="BW314" s="21"/>
      <c r="BX314" s="21"/>
    </row>
    <row r="315" spans="2:66" s="7" customFormat="1" ht="28.5">
      <c r="B315" s="61" t="s">
        <v>395</v>
      </c>
      <c r="C315" s="3"/>
      <c r="D315" s="3"/>
      <c r="O315" s="2">
        <f t="shared" si="117"/>
        <v>0</v>
      </c>
      <c r="P315" s="21"/>
      <c r="AO315" s="2">
        <f t="shared" si="123"/>
        <v>0</v>
      </c>
      <c r="AP315" s="2">
        <f t="shared" si="123"/>
        <v>0</v>
      </c>
      <c r="AS315" s="2">
        <f t="shared" si="121"/>
        <v>0</v>
      </c>
      <c r="BC315" s="70">
        <f t="shared" si="127"/>
        <v>0</v>
      </c>
      <c r="BD315" s="70">
        <f t="shared" si="127"/>
        <v>0</v>
      </c>
      <c r="BK315" s="26">
        <f t="shared" si="124"/>
        <v>0</v>
      </c>
      <c r="BL315" s="26">
        <f t="shared" si="119"/>
        <v>0</v>
      </c>
      <c r="BN315" s="29">
        <f t="shared" si="120"/>
        <v>0</v>
      </c>
    </row>
    <row r="316" spans="2:66" s="7" customFormat="1" ht="28.5">
      <c r="B316" s="61" t="s">
        <v>422</v>
      </c>
      <c r="C316" s="3"/>
      <c r="D316" s="3"/>
      <c r="O316" s="2">
        <f t="shared" si="117"/>
        <v>0</v>
      </c>
      <c r="P316" s="21"/>
      <c r="AO316" s="2">
        <f t="shared" si="123"/>
        <v>0</v>
      </c>
      <c r="AP316" s="2">
        <f t="shared" si="123"/>
        <v>0</v>
      </c>
      <c r="AS316" s="2">
        <f t="shared" si="121"/>
        <v>0</v>
      </c>
      <c r="BC316" s="70">
        <f t="shared" si="127"/>
        <v>0</v>
      </c>
      <c r="BD316" s="70">
        <f t="shared" si="127"/>
        <v>0</v>
      </c>
      <c r="BK316" s="26">
        <f t="shared" si="124"/>
        <v>0</v>
      </c>
      <c r="BL316" s="26">
        <f t="shared" si="119"/>
        <v>0</v>
      </c>
      <c r="BN316" s="29">
        <f t="shared" si="120"/>
        <v>0</v>
      </c>
    </row>
    <row r="317" spans="2:66" s="7" customFormat="1" ht="42.75">
      <c r="B317" s="61" t="s">
        <v>423</v>
      </c>
      <c r="C317" s="3"/>
      <c r="D317" s="3"/>
      <c r="O317" s="2">
        <f t="shared" si="117"/>
        <v>0</v>
      </c>
      <c r="P317" s="21"/>
      <c r="AO317" s="2">
        <f t="shared" si="123"/>
        <v>0</v>
      </c>
      <c r="AP317" s="2">
        <f t="shared" si="123"/>
        <v>0</v>
      </c>
      <c r="AS317" s="2">
        <f t="shared" si="121"/>
        <v>0</v>
      </c>
      <c r="BC317" s="70">
        <f t="shared" si="127"/>
        <v>0</v>
      </c>
      <c r="BD317" s="70">
        <f t="shared" si="127"/>
        <v>0</v>
      </c>
      <c r="BK317" s="26">
        <f t="shared" si="124"/>
        <v>0</v>
      </c>
      <c r="BL317" s="26">
        <f t="shared" si="119"/>
        <v>0</v>
      </c>
      <c r="BN317" s="29">
        <f t="shared" si="120"/>
        <v>0</v>
      </c>
    </row>
    <row r="318" spans="2:66" s="7" customFormat="1" ht="42.75">
      <c r="B318" s="61" t="s">
        <v>424</v>
      </c>
      <c r="C318" s="3"/>
      <c r="D318" s="3"/>
      <c r="O318" s="2">
        <f t="shared" si="117"/>
        <v>0</v>
      </c>
      <c r="P318" s="21"/>
      <c r="AO318" s="2">
        <f t="shared" si="123"/>
        <v>0</v>
      </c>
      <c r="AP318" s="2">
        <f t="shared" si="123"/>
        <v>0</v>
      </c>
      <c r="AS318" s="2">
        <f t="shared" si="121"/>
        <v>0</v>
      </c>
      <c r="BC318" s="70">
        <f t="shared" si="127"/>
        <v>0</v>
      </c>
      <c r="BD318" s="70">
        <f t="shared" si="127"/>
        <v>0</v>
      </c>
      <c r="BK318" s="26">
        <f t="shared" si="124"/>
        <v>0</v>
      </c>
      <c r="BL318" s="26">
        <f t="shared" si="119"/>
        <v>0</v>
      </c>
      <c r="BN318" s="29">
        <f t="shared" si="120"/>
        <v>0</v>
      </c>
    </row>
    <row r="319" spans="2:66" s="7" customFormat="1" ht="42.75">
      <c r="B319" s="61" t="s">
        <v>454</v>
      </c>
      <c r="C319" s="3"/>
      <c r="D319" s="3"/>
      <c r="O319" s="2">
        <f t="shared" si="117"/>
        <v>0</v>
      </c>
      <c r="P319" s="21"/>
      <c r="AO319" s="2">
        <f t="shared" si="123"/>
        <v>0</v>
      </c>
      <c r="AP319" s="2">
        <f t="shared" si="123"/>
        <v>0</v>
      </c>
      <c r="AS319" s="2">
        <f t="shared" si="121"/>
        <v>0</v>
      </c>
      <c r="BC319" s="70">
        <f t="shared" si="127"/>
        <v>0</v>
      </c>
      <c r="BD319" s="70">
        <f t="shared" si="127"/>
        <v>0</v>
      </c>
      <c r="BK319" s="26">
        <f t="shared" si="124"/>
        <v>0</v>
      </c>
      <c r="BL319" s="26">
        <f t="shared" si="119"/>
        <v>0</v>
      </c>
      <c r="BN319" s="29">
        <f t="shared" si="120"/>
        <v>0</v>
      </c>
    </row>
    <row r="320" spans="2:66" s="7" customFormat="1" ht="14.25">
      <c r="B320" s="61" t="s">
        <v>251</v>
      </c>
      <c r="C320" s="3"/>
      <c r="D320" s="3"/>
      <c r="K320" s="21"/>
      <c r="O320" s="2">
        <f t="shared" si="117"/>
        <v>0</v>
      </c>
      <c r="P320" s="21"/>
      <c r="AO320" s="2">
        <f t="shared" si="123"/>
        <v>0</v>
      </c>
      <c r="AP320" s="2">
        <f t="shared" si="123"/>
        <v>0</v>
      </c>
      <c r="AS320" s="2">
        <f t="shared" si="121"/>
        <v>0</v>
      </c>
      <c r="BC320" s="70">
        <f t="shared" si="127"/>
        <v>0</v>
      </c>
      <c r="BD320" s="70">
        <f t="shared" si="127"/>
        <v>0</v>
      </c>
      <c r="BK320" s="26">
        <f t="shared" si="124"/>
        <v>0</v>
      </c>
      <c r="BL320" s="26">
        <f t="shared" si="119"/>
        <v>0</v>
      </c>
      <c r="BN320" s="29">
        <f t="shared" si="120"/>
        <v>0</v>
      </c>
    </row>
    <row r="321" spans="2:66" s="7" customFormat="1" ht="14.25">
      <c r="B321" s="61" t="s">
        <v>251</v>
      </c>
      <c r="C321" s="3"/>
      <c r="D321" s="3"/>
      <c r="O321" s="2">
        <f t="shared" si="117"/>
        <v>0</v>
      </c>
      <c r="P321" s="21"/>
      <c r="AO321" s="2">
        <f t="shared" si="123"/>
        <v>0</v>
      </c>
      <c r="AP321" s="2">
        <f t="shared" si="123"/>
        <v>0</v>
      </c>
      <c r="AS321" s="2">
        <f t="shared" si="121"/>
        <v>0</v>
      </c>
      <c r="BC321" s="70">
        <f t="shared" si="127"/>
        <v>0</v>
      </c>
      <c r="BD321" s="70">
        <f t="shared" si="127"/>
        <v>0</v>
      </c>
      <c r="BK321" s="26">
        <f t="shared" si="124"/>
        <v>0</v>
      </c>
      <c r="BL321" s="26">
        <f t="shared" si="119"/>
        <v>0</v>
      </c>
      <c r="BN321" s="29">
        <f t="shared" si="120"/>
        <v>0</v>
      </c>
    </row>
    <row r="322" spans="2:66" s="7" customFormat="1" ht="14.25">
      <c r="B322" s="61" t="s">
        <v>251</v>
      </c>
      <c r="C322" s="3"/>
      <c r="D322" s="3"/>
      <c r="O322" s="2">
        <f t="shared" si="117"/>
        <v>0</v>
      </c>
      <c r="P322" s="21"/>
      <c r="AO322" s="2">
        <f t="shared" si="123"/>
        <v>0</v>
      </c>
      <c r="AP322" s="2">
        <f t="shared" si="123"/>
        <v>0</v>
      </c>
      <c r="AS322" s="2">
        <f t="shared" si="121"/>
        <v>0</v>
      </c>
      <c r="BC322" s="70">
        <f t="shared" si="127"/>
        <v>0</v>
      </c>
      <c r="BD322" s="70">
        <f t="shared" si="127"/>
        <v>0</v>
      </c>
      <c r="BK322" s="26">
        <f t="shared" si="124"/>
        <v>0</v>
      </c>
      <c r="BL322" s="26">
        <f t="shared" si="119"/>
        <v>0</v>
      </c>
      <c r="BN322" s="29">
        <f t="shared" si="120"/>
        <v>0</v>
      </c>
    </row>
    <row r="323" spans="2:66" s="7" customFormat="1" ht="14.25">
      <c r="B323" s="61" t="s">
        <v>251</v>
      </c>
      <c r="C323" s="3"/>
      <c r="D323" s="3"/>
      <c r="O323" s="2">
        <f t="shared" si="117"/>
        <v>0</v>
      </c>
      <c r="P323" s="21"/>
      <c r="AO323" s="2">
        <f t="shared" si="123"/>
        <v>0</v>
      </c>
      <c r="AP323" s="2">
        <f t="shared" si="123"/>
        <v>0</v>
      </c>
      <c r="AS323" s="2">
        <f t="shared" si="121"/>
        <v>0</v>
      </c>
      <c r="BC323" s="70">
        <f t="shared" si="127"/>
        <v>0</v>
      </c>
      <c r="BD323" s="70">
        <f t="shared" si="127"/>
        <v>0</v>
      </c>
      <c r="BK323" s="26">
        <f t="shared" si="124"/>
        <v>0</v>
      </c>
      <c r="BL323" s="26">
        <f t="shared" si="119"/>
        <v>0</v>
      </c>
      <c r="BN323" s="29">
        <f t="shared" si="120"/>
        <v>0</v>
      </c>
    </row>
    <row r="324" spans="2:66" s="7" customFormat="1" ht="57">
      <c r="B324" s="61" t="s">
        <v>425</v>
      </c>
      <c r="C324" s="3"/>
      <c r="D324" s="3"/>
      <c r="O324" s="2">
        <f t="shared" si="117"/>
        <v>0</v>
      </c>
      <c r="P324" s="21"/>
      <c r="AO324" s="2">
        <f t="shared" si="123"/>
        <v>0</v>
      </c>
      <c r="AP324" s="2">
        <f t="shared" si="123"/>
        <v>0</v>
      </c>
      <c r="AS324" s="2">
        <f t="shared" si="121"/>
        <v>0</v>
      </c>
      <c r="BC324" s="70">
        <f t="shared" si="127"/>
        <v>0</v>
      </c>
      <c r="BD324" s="70">
        <f t="shared" si="127"/>
        <v>0</v>
      </c>
      <c r="BK324" s="26">
        <f t="shared" si="124"/>
        <v>0</v>
      </c>
      <c r="BL324" s="26">
        <f t="shared" si="119"/>
        <v>0</v>
      </c>
      <c r="BN324" s="29">
        <f t="shared" si="120"/>
        <v>0</v>
      </c>
    </row>
    <row r="325" spans="2:66" s="7" customFormat="1" ht="57">
      <c r="B325" s="61" t="s">
        <v>449</v>
      </c>
      <c r="C325" s="3"/>
      <c r="D325" s="3"/>
      <c r="O325" s="2">
        <f t="shared" si="117"/>
        <v>0</v>
      </c>
      <c r="P325" s="21"/>
      <c r="AO325" s="2">
        <f>Q325+S325+U325+W325+Y325+AA325+AC325+AE325+AG325+AI325+AK325+AM325</f>
        <v>0</v>
      </c>
      <c r="AP325" s="2">
        <f>R325+T325+V325+X325+Z325+AB325+AD325+AF325+AH325+AJ325+AL325+AN325</f>
        <v>0</v>
      </c>
      <c r="AS325" s="2"/>
      <c r="BC325" s="70">
        <f t="shared" si="127"/>
        <v>0</v>
      </c>
      <c r="BD325" s="70">
        <f t="shared" si="127"/>
        <v>0</v>
      </c>
      <c r="BK325" s="26">
        <f t="shared" si="124"/>
        <v>0</v>
      </c>
      <c r="BL325" s="26">
        <f t="shared" si="119"/>
        <v>0</v>
      </c>
      <c r="BN325" s="29">
        <f t="shared" si="120"/>
        <v>0</v>
      </c>
    </row>
    <row r="326" spans="1:68" s="8" customFormat="1" ht="14.25">
      <c r="A326" s="7">
        <f>A312+1</f>
        <v>25</v>
      </c>
      <c r="B326" s="61" t="s">
        <v>132</v>
      </c>
      <c r="C326" s="42">
        <v>12</v>
      </c>
      <c r="D326" s="21">
        <v>120</v>
      </c>
      <c r="E326" s="7"/>
      <c r="F326" s="7"/>
      <c r="G326" s="7"/>
      <c r="H326" s="7">
        <f>C326*D326</f>
        <v>1440</v>
      </c>
      <c r="I326" s="7"/>
      <c r="J326" s="7"/>
      <c r="K326" s="7"/>
      <c r="L326" s="7"/>
      <c r="M326" s="7"/>
      <c r="N326" s="7"/>
      <c r="O326" s="2">
        <f t="shared" si="117"/>
        <v>1440</v>
      </c>
      <c r="P326" s="21"/>
      <c r="Q326" s="7"/>
      <c r="R326" s="7"/>
      <c r="S326" s="7"/>
      <c r="T326" s="7"/>
      <c r="U326" s="7"/>
      <c r="V326" s="7"/>
      <c r="W326" s="7"/>
      <c r="X326" s="7"/>
      <c r="Y326" s="7">
        <v>1</v>
      </c>
      <c r="Z326" s="7">
        <v>140</v>
      </c>
      <c r="AA326" s="7"/>
      <c r="AB326" s="7"/>
      <c r="AC326" s="7"/>
      <c r="AD326" s="7"/>
      <c r="AE326" s="7"/>
      <c r="AF326" s="7"/>
      <c r="AG326" s="7">
        <v>1</v>
      </c>
      <c r="AH326" s="7">
        <v>140</v>
      </c>
      <c r="AI326" s="7"/>
      <c r="AJ326" s="7"/>
      <c r="AK326" s="7">
        <v>1</v>
      </c>
      <c r="AL326" s="7">
        <v>140</v>
      </c>
      <c r="AM326" s="7">
        <v>1</v>
      </c>
      <c r="AN326" s="7">
        <v>140</v>
      </c>
      <c r="AO326" s="2">
        <f t="shared" si="123"/>
        <v>4</v>
      </c>
      <c r="AP326" s="2">
        <f t="shared" si="123"/>
        <v>560</v>
      </c>
      <c r="AQ326" s="7"/>
      <c r="AR326" s="7"/>
      <c r="AS326" s="2">
        <f t="shared" si="121"/>
        <v>880</v>
      </c>
      <c r="AT326" s="7"/>
      <c r="AU326" s="7"/>
      <c r="AV326" s="7"/>
      <c r="AW326" s="7"/>
      <c r="AX326" s="7"/>
      <c r="AY326" s="7"/>
      <c r="AZ326" s="7"/>
      <c r="BA326" s="7"/>
      <c r="BB326" s="7"/>
      <c r="BC326" s="70">
        <f t="shared" si="127"/>
        <v>4</v>
      </c>
      <c r="BD326" s="70">
        <f t="shared" si="127"/>
        <v>560</v>
      </c>
      <c r="BE326" s="7"/>
      <c r="BF326" s="7"/>
      <c r="BG326" s="7"/>
      <c r="BH326" s="7"/>
      <c r="BI326" s="7"/>
      <c r="BJ326" s="7"/>
      <c r="BK326" s="26">
        <f t="shared" si="124"/>
        <v>4</v>
      </c>
      <c r="BL326" s="26">
        <f t="shared" si="119"/>
        <v>560</v>
      </c>
      <c r="BM326" s="7"/>
      <c r="BN326" s="29">
        <f t="shared" si="120"/>
        <v>0</v>
      </c>
      <c r="BO326" s="7"/>
      <c r="BP326" s="7"/>
    </row>
    <row r="327" spans="1:66" s="8" customFormat="1" ht="14.25">
      <c r="A327" s="7">
        <f t="shared" si="128"/>
        <v>26</v>
      </c>
      <c r="B327" s="61" t="s">
        <v>164</v>
      </c>
      <c r="E327" s="21"/>
      <c r="F327" s="21"/>
      <c r="G327" s="21"/>
      <c r="H327" s="21"/>
      <c r="O327" s="2">
        <f t="shared" si="117"/>
        <v>0</v>
      </c>
      <c r="P327" s="24"/>
      <c r="AO327" s="2">
        <f t="shared" si="123"/>
        <v>0</v>
      </c>
      <c r="AP327" s="2">
        <f t="shared" si="123"/>
        <v>0</v>
      </c>
      <c r="AS327" s="2">
        <f t="shared" si="121"/>
        <v>0</v>
      </c>
      <c r="BC327" s="70">
        <f t="shared" si="127"/>
        <v>0</v>
      </c>
      <c r="BD327" s="70">
        <f t="shared" si="127"/>
        <v>0</v>
      </c>
      <c r="BK327" s="26">
        <f t="shared" si="124"/>
        <v>0</v>
      </c>
      <c r="BL327" s="26">
        <f t="shared" si="119"/>
        <v>0</v>
      </c>
      <c r="BN327" s="29">
        <f t="shared" si="120"/>
        <v>0</v>
      </c>
    </row>
    <row r="328" spans="1:66" s="8" customFormat="1" ht="28.5">
      <c r="A328" s="7">
        <f t="shared" si="128"/>
        <v>27</v>
      </c>
      <c r="B328" s="61" t="s">
        <v>102</v>
      </c>
      <c r="C328" s="43">
        <v>20</v>
      </c>
      <c r="D328" s="8">
        <v>100</v>
      </c>
      <c r="E328" s="7"/>
      <c r="F328" s="7"/>
      <c r="G328" s="7"/>
      <c r="H328" s="7">
        <f>C328*D328</f>
        <v>2000</v>
      </c>
      <c r="O328" s="2">
        <f t="shared" si="117"/>
        <v>2000</v>
      </c>
      <c r="P328" s="24"/>
      <c r="AA328" s="8">
        <v>21</v>
      </c>
      <c r="AB328" s="8">
        <v>1814.4</v>
      </c>
      <c r="AO328" s="2">
        <f t="shared" si="123"/>
        <v>21</v>
      </c>
      <c r="AP328" s="2">
        <f t="shared" si="123"/>
        <v>1814.4</v>
      </c>
      <c r="AS328" s="2">
        <f t="shared" si="121"/>
        <v>185.5999999999999</v>
      </c>
      <c r="BC328" s="70">
        <f t="shared" si="127"/>
        <v>21</v>
      </c>
      <c r="BD328" s="70">
        <f t="shared" si="127"/>
        <v>1814.4</v>
      </c>
      <c r="BK328" s="26">
        <f t="shared" si="124"/>
        <v>21</v>
      </c>
      <c r="BL328" s="26">
        <f t="shared" si="119"/>
        <v>1814.4</v>
      </c>
      <c r="BN328" s="29">
        <f t="shared" si="120"/>
        <v>0</v>
      </c>
    </row>
    <row r="329" spans="1:66" s="8" customFormat="1" ht="28.5">
      <c r="A329" s="7">
        <f t="shared" si="128"/>
        <v>28</v>
      </c>
      <c r="B329" s="61" t="s">
        <v>341</v>
      </c>
      <c r="E329" s="7"/>
      <c r="F329" s="7"/>
      <c r="G329" s="7"/>
      <c r="H329" s="7"/>
      <c r="J329" s="8">
        <v>8832</v>
      </c>
      <c r="O329" s="2">
        <f t="shared" si="117"/>
        <v>8832</v>
      </c>
      <c r="P329" s="24"/>
      <c r="X329" s="8">
        <v>8831.55</v>
      </c>
      <c r="AO329" s="2">
        <f t="shared" si="123"/>
        <v>0</v>
      </c>
      <c r="AP329" s="2">
        <f t="shared" si="123"/>
        <v>8831.55</v>
      </c>
      <c r="AS329" s="2">
        <f t="shared" si="121"/>
        <v>0.4500000000007276</v>
      </c>
      <c r="BC329" s="70">
        <f t="shared" si="127"/>
        <v>0</v>
      </c>
      <c r="BD329" s="70">
        <f t="shared" si="127"/>
        <v>8831.55</v>
      </c>
      <c r="BK329" s="26">
        <f t="shared" si="124"/>
        <v>0</v>
      </c>
      <c r="BL329" s="26">
        <f t="shared" si="119"/>
        <v>8831.55</v>
      </c>
      <c r="BN329" s="29">
        <f t="shared" si="120"/>
        <v>0</v>
      </c>
    </row>
    <row r="330" spans="1:66" s="8" customFormat="1" ht="28.5">
      <c r="A330" s="7">
        <f t="shared" si="128"/>
        <v>29</v>
      </c>
      <c r="B330" s="61" t="s">
        <v>367</v>
      </c>
      <c r="E330" s="7"/>
      <c r="F330" s="7"/>
      <c r="G330" s="7"/>
      <c r="H330" s="7"/>
      <c r="O330" s="2">
        <f t="shared" si="117"/>
        <v>0</v>
      </c>
      <c r="P330" s="24"/>
      <c r="AO330" s="2">
        <f t="shared" si="123"/>
        <v>0</v>
      </c>
      <c r="AP330" s="2">
        <f t="shared" si="123"/>
        <v>0</v>
      </c>
      <c r="AS330" s="2">
        <f t="shared" si="121"/>
        <v>0</v>
      </c>
      <c r="BC330" s="70">
        <f t="shared" si="127"/>
        <v>0</v>
      </c>
      <c r="BD330" s="70">
        <f t="shared" si="127"/>
        <v>0</v>
      </c>
      <c r="BK330" s="26">
        <f t="shared" si="124"/>
        <v>0</v>
      </c>
      <c r="BL330" s="26">
        <f t="shared" si="119"/>
        <v>0</v>
      </c>
      <c r="BN330" s="29">
        <f t="shared" si="120"/>
        <v>0</v>
      </c>
    </row>
    <row r="331" spans="1:68" s="8" customFormat="1" ht="28.5">
      <c r="A331" s="7">
        <f t="shared" si="128"/>
        <v>30</v>
      </c>
      <c r="B331" s="68" t="s">
        <v>378</v>
      </c>
      <c r="C331" s="19"/>
      <c r="D331" s="19"/>
      <c r="E331" s="21"/>
      <c r="F331" s="21"/>
      <c r="G331" s="21"/>
      <c r="H331" s="21"/>
      <c r="I331" s="19"/>
      <c r="J331" s="19"/>
      <c r="K331" s="19"/>
      <c r="L331" s="19"/>
      <c r="M331" s="19"/>
      <c r="N331" s="19"/>
      <c r="O331" s="2">
        <f t="shared" si="117"/>
        <v>0</v>
      </c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2">
        <f t="shared" si="123"/>
        <v>0</v>
      </c>
      <c r="AP331" s="2">
        <f t="shared" si="123"/>
        <v>0</v>
      </c>
      <c r="AQ331" s="19"/>
      <c r="AR331" s="19"/>
      <c r="AS331" s="2">
        <f t="shared" si="121"/>
        <v>0</v>
      </c>
      <c r="AT331" s="19"/>
      <c r="AU331" s="19"/>
      <c r="AV331" s="19"/>
      <c r="AW331" s="19"/>
      <c r="AX331" s="19"/>
      <c r="AY331" s="19"/>
      <c r="AZ331" s="19"/>
      <c r="BA331" s="19"/>
      <c r="BB331" s="19"/>
      <c r="BC331" s="70">
        <f t="shared" si="127"/>
        <v>0</v>
      </c>
      <c r="BD331" s="70">
        <f t="shared" si="127"/>
        <v>0</v>
      </c>
      <c r="BE331" s="19"/>
      <c r="BF331" s="19"/>
      <c r="BG331" s="19"/>
      <c r="BH331" s="19"/>
      <c r="BI331" s="19"/>
      <c r="BJ331" s="19"/>
      <c r="BK331" s="26">
        <f t="shared" si="124"/>
        <v>0</v>
      </c>
      <c r="BL331" s="26">
        <f t="shared" si="119"/>
        <v>0</v>
      </c>
      <c r="BM331" s="19"/>
      <c r="BN331" s="29">
        <f t="shared" si="120"/>
        <v>0</v>
      </c>
      <c r="BO331" s="19"/>
      <c r="BP331" s="19"/>
    </row>
    <row r="332" spans="1:68" s="8" customFormat="1" ht="14.25">
      <c r="A332" s="7">
        <f t="shared" si="128"/>
        <v>31</v>
      </c>
      <c r="B332" s="68" t="s">
        <v>133</v>
      </c>
      <c r="C332" s="38">
        <v>1584</v>
      </c>
      <c r="D332" s="74">
        <v>0.3</v>
      </c>
      <c r="E332" s="42"/>
      <c r="F332" s="42"/>
      <c r="G332" s="27"/>
      <c r="H332" s="7">
        <f>C332*D332*2-0.4</f>
        <v>950</v>
      </c>
      <c r="I332" s="19"/>
      <c r="J332" s="19"/>
      <c r="K332" s="19"/>
      <c r="L332" s="19"/>
      <c r="M332" s="19"/>
      <c r="N332" s="19"/>
      <c r="O332" s="2">
        <f t="shared" si="117"/>
        <v>950</v>
      </c>
      <c r="P332" s="19"/>
      <c r="Q332" s="19"/>
      <c r="R332" s="19"/>
      <c r="S332" s="19"/>
      <c r="T332" s="19"/>
      <c r="U332" s="19"/>
      <c r="V332" s="19"/>
      <c r="W332" s="19"/>
      <c r="X332" s="19"/>
      <c r="Y332" s="19">
        <v>1235.81</v>
      </c>
      <c r="Z332" s="19">
        <v>588.12</v>
      </c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>
        <v>395.04</v>
      </c>
      <c r="AL332" s="19">
        <v>188</v>
      </c>
      <c r="AM332" s="19"/>
      <c r="AN332" s="19"/>
      <c r="AO332" s="2">
        <f>Q332+S332+U332+W332+Y332+AA332+AC332+AE332+AG332+AI332+AK332+AM332</f>
        <v>1630.85</v>
      </c>
      <c r="AP332" s="2">
        <f t="shared" si="123"/>
        <v>776.12</v>
      </c>
      <c r="AQ332" s="19"/>
      <c r="AR332" s="19"/>
      <c r="AS332" s="2">
        <f t="shared" si="121"/>
        <v>173.88</v>
      </c>
      <c r="AT332" s="19"/>
      <c r="AU332" s="19"/>
      <c r="AV332" s="19"/>
      <c r="AW332" s="19"/>
      <c r="AX332" s="19"/>
      <c r="AY332" s="19"/>
      <c r="AZ332" s="19"/>
      <c r="BA332" s="19"/>
      <c r="BB332" s="19"/>
      <c r="BC332" s="70">
        <f t="shared" si="127"/>
        <v>1630.85</v>
      </c>
      <c r="BD332" s="70">
        <f t="shared" si="127"/>
        <v>776.12</v>
      </c>
      <c r="BE332" s="19"/>
      <c r="BF332" s="19"/>
      <c r="BG332" s="19"/>
      <c r="BH332" s="19"/>
      <c r="BI332" s="19"/>
      <c r="BJ332" s="19"/>
      <c r="BK332" s="26">
        <f t="shared" si="124"/>
        <v>1630.85</v>
      </c>
      <c r="BL332" s="26">
        <f t="shared" si="119"/>
        <v>776.12</v>
      </c>
      <c r="BM332" s="19"/>
      <c r="BN332" s="29">
        <f t="shared" si="120"/>
        <v>0</v>
      </c>
      <c r="BO332" s="19"/>
      <c r="BP332" s="19"/>
    </row>
    <row r="333" spans="1:68" s="8" customFormat="1" ht="14.25">
      <c r="A333" s="7">
        <f t="shared" si="128"/>
        <v>32</v>
      </c>
      <c r="B333" s="68" t="s">
        <v>104</v>
      </c>
      <c r="C333" s="19"/>
      <c r="D333" s="19"/>
      <c r="E333" s="21"/>
      <c r="F333" s="21"/>
      <c r="G333" s="21"/>
      <c r="H333" s="21"/>
      <c r="I333" s="19"/>
      <c r="J333" s="19"/>
      <c r="K333" s="19"/>
      <c r="L333" s="19"/>
      <c r="M333" s="19"/>
      <c r="N333" s="19"/>
      <c r="O333" s="2">
        <f t="shared" si="117"/>
        <v>0</v>
      </c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2">
        <f t="shared" si="123"/>
        <v>0</v>
      </c>
      <c r="AP333" s="2">
        <f t="shared" si="123"/>
        <v>0</v>
      </c>
      <c r="AQ333" s="19"/>
      <c r="AR333" s="19"/>
      <c r="AS333" s="2">
        <f t="shared" si="121"/>
        <v>0</v>
      </c>
      <c r="AT333" s="19"/>
      <c r="AU333" s="19"/>
      <c r="AV333" s="19"/>
      <c r="AW333" s="19"/>
      <c r="AX333" s="19"/>
      <c r="AY333" s="19"/>
      <c r="AZ333" s="19"/>
      <c r="BA333" s="19"/>
      <c r="BB333" s="19"/>
      <c r="BC333" s="70">
        <f t="shared" si="127"/>
        <v>0</v>
      </c>
      <c r="BD333" s="70">
        <f t="shared" si="127"/>
        <v>0</v>
      </c>
      <c r="BE333" s="19"/>
      <c r="BF333" s="19"/>
      <c r="BG333" s="19"/>
      <c r="BH333" s="19"/>
      <c r="BI333" s="19"/>
      <c r="BJ333" s="19"/>
      <c r="BK333" s="26">
        <f t="shared" si="124"/>
        <v>0</v>
      </c>
      <c r="BL333" s="26">
        <f t="shared" si="119"/>
        <v>0</v>
      </c>
      <c r="BM333" s="19"/>
      <c r="BN333" s="29">
        <f t="shared" si="120"/>
        <v>0</v>
      </c>
      <c r="BO333" s="19"/>
      <c r="BP333" s="19"/>
    </row>
    <row r="334" spans="1:66" s="19" customFormat="1" ht="14.25">
      <c r="A334" s="7">
        <f t="shared" si="128"/>
        <v>33</v>
      </c>
      <c r="B334" s="68" t="s">
        <v>175</v>
      </c>
      <c r="E334" s="21"/>
      <c r="F334" s="21"/>
      <c r="G334" s="21"/>
      <c r="H334" s="21"/>
      <c r="O334" s="2">
        <f t="shared" si="117"/>
        <v>0</v>
      </c>
      <c r="AO334" s="2">
        <f aca="true" t="shared" si="131" ref="AO334:AP344">Q334+S334+U334+W334+Y334+AA334+AC334+AE334+AG334+AI334+AK334+AM334</f>
        <v>0</v>
      </c>
      <c r="AP334" s="2">
        <f t="shared" si="131"/>
        <v>0</v>
      </c>
      <c r="AS334" s="2">
        <f t="shared" si="121"/>
        <v>0</v>
      </c>
      <c r="BC334" s="70">
        <f t="shared" si="127"/>
        <v>0</v>
      </c>
      <c r="BD334" s="70">
        <f t="shared" si="127"/>
        <v>0</v>
      </c>
      <c r="BK334" s="26">
        <f t="shared" si="124"/>
        <v>0</v>
      </c>
      <c r="BL334" s="26">
        <f t="shared" si="119"/>
        <v>0</v>
      </c>
      <c r="BN334" s="29">
        <f t="shared" si="120"/>
        <v>0</v>
      </c>
    </row>
    <row r="335" spans="1:66" s="19" customFormat="1" ht="14.25">
      <c r="A335" s="7">
        <f t="shared" si="128"/>
        <v>34</v>
      </c>
      <c r="B335" s="68" t="s">
        <v>281</v>
      </c>
      <c r="E335" s="21"/>
      <c r="F335" s="21"/>
      <c r="G335" s="21"/>
      <c r="H335" s="21"/>
      <c r="O335" s="2">
        <f t="shared" si="117"/>
        <v>0</v>
      </c>
      <c r="AO335" s="2">
        <f t="shared" si="131"/>
        <v>0</v>
      </c>
      <c r="AP335" s="2">
        <f t="shared" si="131"/>
        <v>0</v>
      </c>
      <c r="AS335" s="2">
        <f t="shared" si="121"/>
        <v>0</v>
      </c>
      <c r="BC335" s="70">
        <f t="shared" si="127"/>
        <v>0</v>
      </c>
      <c r="BD335" s="70">
        <f t="shared" si="127"/>
        <v>0</v>
      </c>
      <c r="BK335" s="26">
        <f t="shared" si="124"/>
        <v>0</v>
      </c>
      <c r="BL335" s="26">
        <f t="shared" si="119"/>
        <v>0</v>
      </c>
      <c r="BN335" s="29">
        <f t="shared" si="120"/>
        <v>0</v>
      </c>
    </row>
    <row r="336" spans="1:66" s="19" customFormat="1" ht="14.25">
      <c r="A336" s="7">
        <f t="shared" si="128"/>
        <v>35</v>
      </c>
      <c r="B336" s="68" t="s">
        <v>290</v>
      </c>
      <c r="E336" s="21"/>
      <c r="F336" s="21"/>
      <c r="G336" s="21"/>
      <c r="H336" s="21"/>
      <c r="O336" s="2">
        <f t="shared" si="117"/>
        <v>0</v>
      </c>
      <c r="AO336" s="2">
        <f t="shared" si="131"/>
        <v>0</v>
      </c>
      <c r="AP336" s="2">
        <f t="shared" si="131"/>
        <v>0</v>
      </c>
      <c r="AS336" s="2">
        <f t="shared" si="121"/>
        <v>0</v>
      </c>
      <c r="BC336" s="70">
        <f t="shared" si="127"/>
        <v>0</v>
      </c>
      <c r="BD336" s="70">
        <f t="shared" si="127"/>
        <v>0</v>
      </c>
      <c r="BK336" s="26">
        <f t="shared" si="124"/>
        <v>0</v>
      </c>
      <c r="BL336" s="26">
        <f t="shared" si="119"/>
        <v>0</v>
      </c>
      <c r="BN336" s="29">
        <f t="shared" si="120"/>
        <v>0</v>
      </c>
    </row>
    <row r="337" spans="1:66" s="19" customFormat="1" ht="28.5">
      <c r="A337" s="7">
        <f t="shared" si="128"/>
        <v>36</v>
      </c>
      <c r="B337" s="68" t="s">
        <v>243</v>
      </c>
      <c r="E337" s="21"/>
      <c r="F337" s="21"/>
      <c r="G337" s="21"/>
      <c r="H337" s="21"/>
      <c r="O337" s="2">
        <f t="shared" si="117"/>
        <v>0</v>
      </c>
      <c r="AO337" s="2">
        <f t="shared" si="131"/>
        <v>0</v>
      </c>
      <c r="AP337" s="2">
        <f t="shared" si="131"/>
        <v>0</v>
      </c>
      <c r="AS337" s="2">
        <f t="shared" si="121"/>
        <v>0</v>
      </c>
      <c r="BC337" s="70">
        <f t="shared" si="127"/>
        <v>0</v>
      </c>
      <c r="BD337" s="70">
        <f t="shared" si="127"/>
        <v>0</v>
      </c>
      <c r="BK337" s="26">
        <f t="shared" si="124"/>
        <v>0</v>
      </c>
      <c r="BL337" s="26">
        <f t="shared" si="119"/>
        <v>0</v>
      </c>
      <c r="BN337" s="29">
        <f t="shared" si="120"/>
        <v>0</v>
      </c>
    </row>
    <row r="338" spans="1:66" s="19" customFormat="1" ht="28.5">
      <c r="A338" s="7">
        <f t="shared" si="128"/>
        <v>37</v>
      </c>
      <c r="B338" s="68" t="s">
        <v>271</v>
      </c>
      <c r="C338" s="19">
        <v>6</v>
      </c>
      <c r="D338" s="19">
        <v>1000</v>
      </c>
      <c r="E338" s="21"/>
      <c r="F338" s="21"/>
      <c r="G338" s="21"/>
      <c r="H338" s="21">
        <f>C338*D338</f>
        <v>6000</v>
      </c>
      <c r="O338" s="2">
        <f t="shared" si="117"/>
        <v>6000</v>
      </c>
      <c r="X338" s="19">
        <v>1200</v>
      </c>
      <c r="Z338" s="19">
        <v>600</v>
      </c>
      <c r="AB338" s="19">
        <v>600</v>
      </c>
      <c r="AD338" s="19">
        <v>600</v>
      </c>
      <c r="AF338" s="19">
        <v>600</v>
      </c>
      <c r="AH338" s="19">
        <v>600</v>
      </c>
      <c r="AJ338" s="19">
        <v>600</v>
      </c>
      <c r="AL338" s="19">
        <v>600</v>
      </c>
      <c r="AN338" s="19">
        <v>600</v>
      </c>
      <c r="AO338" s="2">
        <f t="shared" si="131"/>
        <v>0</v>
      </c>
      <c r="AP338" s="2">
        <f t="shared" si="131"/>
        <v>6000</v>
      </c>
      <c r="AS338" s="2">
        <f t="shared" si="121"/>
        <v>0</v>
      </c>
      <c r="BC338" s="70">
        <f t="shared" si="127"/>
        <v>0</v>
      </c>
      <c r="BD338" s="70">
        <f t="shared" si="127"/>
        <v>6000</v>
      </c>
      <c r="BK338" s="26">
        <f t="shared" si="124"/>
        <v>0</v>
      </c>
      <c r="BL338" s="26">
        <f t="shared" si="119"/>
        <v>6000</v>
      </c>
      <c r="BN338" s="29">
        <f t="shared" si="120"/>
        <v>0</v>
      </c>
    </row>
    <row r="339" spans="1:66" s="19" customFormat="1" ht="28.5">
      <c r="A339" s="7">
        <f t="shared" si="128"/>
        <v>38</v>
      </c>
      <c r="B339" s="68" t="s">
        <v>270</v>
      </c>
      <c r="E339" s="21"/>
      <c r="F339" s="21"/>
      <c r="G339" s="21"/>
      <c r="H339" s="21">
        <v>550</v>
      </c>
      <c r="J339" s="19">
        <v>136</v>
      </c>
      <c r="O339" s="2">
        <f t="shared" si="117"/>
        <v>686</v>
      </c>
      <c r="AF339" s="19">
        <v>685.94</v>
      </c>
      <c r="AO339" s="2">
        <f t="shared" si="131"/>
        <v>0</v>
      </c>
      <c r="AP339" s="2">
        <f t="shared" si="131"/>
        <v>685.94</v>
      </c>
      <c r="AS339" s="2">
        <f t="shared" si="121"/>
        <v>0.05999999999994543</v>
      </c>
      <c r="BC339" s="70">
        <f t="shared" si="127"/>
        <v>0</v>
      </c>
      <c r="BD339" s="70">
        <f t="shared" si="127"/>
        <v>685.94</v>
      </c>
      <c r="BK339" s="26">
        <f t="shared" si="124"/>
        <v>0</v>
      </c>
      <c r="BL339" s="26">
        <f t="shared" si="119"/>
        <v>685.94</v>
      </c>
      <c r="BN339" s="29">
        <f t="shared" si="120"/>
        <v>0</v>
      </c>
    </row>
    <row r="340" spans="1:66" s="19" customFormat="1" ht="28.5">
      <c r="A340" s="7">
        <f t="shared" si="128"/>
        <v>39</v>
      </c>
      <c r="B340" s="68" t="s">
        <v>256</v>
      </c>
      <c r="E340" s="21"/>
      <c r="F340" s="21"/>
      <c r="G340" s="21"/>
      <c r="H340" s="21">
        <v>700</v>
      </c>
      <c r="J340" s="19">
        <f>-136-564</f>
        <v>-700</v>
      </c>
      <c r="O340" s="2">
        <f t="shared" si="117"/>
        <v>0</v>
      </c>
      <c r="AO340" s="2">
        <f t="shared" si="131"/>
        <v>0</v>
      </c>
      <c r="AP340" s="2">
        <f t="shared" si="131"/>
        <v>0</v>
      </c>
      <c r="AS340" s="2">
        <f t="shared" si="121"/>
        <v>0</v>
      </c>
      <c r="BC340" s="70">
        <f t="shared" si="127"/>
        <v>0</v>
      </c>
      <c r="BD340" s="70">
        <f t="shared" si="127"/>
        <v>0</v>
      </c>
      <c r="BK340" s="26">
        <f t="shared" si="124"/>
        <v>0</v>
      </c>
      <c r="BL340" s="26">
        <f t="shared" si="119"/>
        <v>0</v>
      </c>
      <c r="BN340" s="29">
        <f t="shared" si="120"/>
        <v>0</v>
      </c>
    </row>
    <row r="341" spans="1:66" s="19" customFormat="1" ht="28.5">
      <c r="A341" s="7">
        <f t="shared" si="128"/>
        <v>40</v>
      </c>
      <c r="B341" s="68" t="s">
        <v>235</v>
      </c>
      <c r="E341" s="21"/>
      <c r="F341" s="21"/>
      <c r="G341" s="21"/>
      <c r="H341" s="21"/>
      <c r="O341" s="2">
        <f t="shared" si="117"/>
        <v>0</v>
      </c>
      <c r="AO341" s="2">
        <f t="shared" si="131"/>
        <v>0</v>
      </c>
      <c r="AP341" s="2">
        <f t="shared" si="131"/>
        <v>0</v>
      </c>
      <c r="AS341" s="2">
        <f t="shared" si="121"/>
        <v>0</v>
      </c>
      <c r="BC341" s="70">
        <f t="shared" si="127"/>
        <v>0</v>
      </c>
      <c r="BD341" s="70">
        <f t="shared" si="127"/>
        <v>0</v>
      </c>
      <c r="BK341" s="26">
        <f t="shared" si="124"/>
        <v>0</v>
      </c>
      <c r="BL341" s="26">
        <f t="shared" si="119"/>
        <v>0</v>
      </c>
      <c r="BN341" s="29">
        <f t="shared" si="120"/>
        <v>0</v>
      </c>
    </row>
    <row r="342" spans="1:66" s="19" customFormat="1" ht="57">
      <c r="A342" s="7">
        <f t="shared" si="128"/>
        <v>41</v>
      </c>
      <c r="B342" s="68" t="s">
        <v>460</v>
      </c>
      <c r="E342" s="21"/>
      <c r="F342" s="21"/>
      <c r="G342" s="21"/>
      <c r="H342" s="21"/>
      <c r="O342" s="2">
        <f t="shared" si="117"/>
        <v>0</v>
      </c>
      <c r="AO342" s="2">
        <f t="shared" si="131"/>
        <v>0</v>
      </c>
      <c r="AP342" s="2">
        <f t="shared" si="131"/>
        <v>0</v>
      </c>
      <c r="AS342" s="2">
        <f t="shared" si="121"/>
        <v>0</v>
      </c>
      <c r="BC342" s="70">
        <f t="shared" si="127"/>
        <v>0</v>
      </c>
      <c r="BD342" s="70">
        <f t="shared" si="127"/>
        <v>0</v>
      </c>
      <c r="BK342" s="26">
        <f t="shared" si="124"/>
        <v>0</v>
      </c>
      <c r="BL342" s="26">
        <f t="shared" si="119"/>
        <v>0</v>
      </c>
      <c r="BN342" s="29">
        <f t="shared" si="120"/>
        <v>0</v>
      </c>
    </row>
    <row r="343" spans="1:66" s="19" customFormat="1" ht="14.25">
      <c r="A343" s="7">
        <f t="shared" si="128"/>
        <v>42</v>
      </c>
      <c r="B343" s="75" t="s">
        <v>252</v>
      </c>
      <c r="E343" s="21"/>
      <c r="F343" s="21"/>
      <c r="G343" s="21"/>
      <c r="H343" s="21"/>
      <c r="J343" s="19">
        <v>13430</v>
      </c>
      <c r="O343" s="26">
        <f t="shared" si="117"/>
        <v>13430</v>
      </c>
      <c r="AG343" s="19">
        <v>37</v>
      </c>
      <c r="AH343" s="19">
        <v>13430.5</v>
      </c>
      <c r="AO343" s="26">
        <f t="shared" si="131"/>
        <v>37</v>
      </c>
      <c r="AP343" s="26">
        <f t="shared" si="131"/>
        <v>13430.5</v>
      </c>
      <c r="AS343" s="26">
        <f t="shared" si="121"/>
        <v>-0.5</v>
      </c>
      <c r="BC343" s="70">
        <f t="shared" si="127"/>
        <v>37</v>
      </c>
      <c r="BD343" s="70">
        <f t="shared" si="127"/>
        <v>13430.5</v>
      </c>
      <c r="BK343" s="26">
        <f t="shared" si="124"/>
        <v>37</v>
      </c>
      <c r="BL343" s="26">
        <f t="shared" si="119"/>
        <v>13430.5</v>
      </c>
      <c r="BN343" s="29">
        <f t="shared" si="120"/>
        <v>0</v>
      </c>
    </row>
    <row r="344" spans="1:66" s="19" customFormat="1" ht="14.25">
      <c r="A344" s="7">
        <f t="shared" si="128"/>
        <v>43</v>
      </c>
      <c r="B344" s="68" t="s">
        <v>295</v>
      </c>
      <c r="E344" s="21"/>
      <c r="F344" s="21"/>
      <c r="G344" s="21"/>
      <c r="H344" s="21"/>
      <c r="O344" s="2">
        <f t="shared" si="117"/>
        <v>0</v>
      </c>
      <c r="AO344" s="2">
        <f t="shared" si="131"/>
        <v>0</v>
      </c>
      <c r="AP344" s="2">
        <f t="shared" si="131"/>
        <v>0</v>
      </c>
      <c r="AS344" s="2">
        <f t="shared" si="121"/>
        <v>0</v>
      </c>
      <c r="BC344" s="70">
        <f>AO344</f>
        <v>0</v>
      </c>
      <c r="BD344" s="70">
        <f t="shared" si="127"/>
        <v>0</v>
      </c>
      <c r="BK344" s="26">
        <f t="shared" si="124"/>
        <v>0</v>
      </c>
      <c r="BL344" s="26">
        <f t="shared" si="119"/>
        <v>0</v>
      </c>
      <c r="BN344" s="29">
        <f t="shared" si="120"/>
        <v>0</v>
      </c>
    </row>
    <row r="345" spans="1:68" s="19" customFormat="1" ht="15">
      <c r="A345" s="16"/>
      <c r="B345" s="67" t="s">
        <v>168</v>
      </c>
      <c r="C345" s="16"/>
      <c r="D345" s="16"/>
      <c r="E345" s="17">
        <f aca="true" t="shared" si="132" ref="E345:N345">SUM(E346:E355)</f>
        <v>0</v>
      </c>
      <c r="F345" s="17">
        <f t="shared" si="132"/>
        <v>0</v>
      </c>
      <c r="G345" s="17">
        <f t="shared" si="132"/>
        <v>0</v>
      </c>
      <c r="H345" s="17">
        <f>SUM(H346:H355)</f>
        <v>8480</v>
      </c>
      <c r="I345" s="17">
        <f t="shared" si="132"/>
        <v>0</v>
      </c>
      <c r="J345" s="17">
        <f t="shared" si="132"/>
        <v>-8000</v>
      </c>
      <c r="K345" s="17">
        <f t="shared" si="132"/>
        <v>0</v>
      </c>
      <c r="L345" s="17">
        <f t="shared" si="132"/>
        <v>0</v>
      </c>
      <c r="M345" s="17">
        <f>SUM(M346:M355)</f>
        <v>0</v>
      </c>
      <c r="N345" s="17">
        <f t="shared" si="132"/>
        <v>0</v>
      </c>
      <c r="O345" s="16">
        <f>SUM(E345:N345)</f>
        <v>480</v>
      </c>
      <c r="P345" s="19">
        <v>8480</v>
      </c>
      <c r="Q345" s="17">
        <f aca="true" t="shared" si="133" ref="Q345:AO345">SUM(Q346:Q355)</f>
        <v>0</v>
      </c>
      <c r="R345" s="17">
        <f t="shared" si="133"/>
        <v>0</v>
      </c>
      <c r="S345" s="17">
        <f t="shared" si="133"/>
        <v>0</v>
      </c>
      <c r="T345" s="17">
        <f t="shared" si="133"/>
        <v>0</v>
      </c>
      <c r="U345" s="17">
        <f t="shared" si="133"/>
        <v>0</v>
      </c>
      <c r="V345" s="17">
        <f t="shared" si="133"/>
        <v>0</v>
      </c>
      <c r="W345" s="17">
        <f t="shared" si="133"/>
        <v>0</v>
      </c>
      <c r="X345" s="17">
        <f t="shared" si="133"/>
        <v>0</v>
      </c>
      <c r="Y345" s="17">
        <f t="shared" si="133"/>
        <v>0</v>
      </c>
      <c r="Z345" s="17">
        <f t="shared" si="133"/>
        <v>0</v>
      </c>
      <c r="AA345" s="17">
        <f t="shared" si="133"/>
        <v>0</v>
      </c>
      <c r="AB345" s="17">
        <f t="shared" si="133"/>
        <v>0</v>
      </c>
      <c r="AC345" s="17">
        <f t="shared" si="133"/>
        <v>0</v>
      </c>
      <c r="AD345" s="17">
        <f t="shared" si="133"/>
        <v>0</v>
      </c>
      <c r="AE345" s="17">
        <f t="shared" si="133"/>
        <v>0</v>
      </c>
      <c r="AF345" s="17">
        <f t="shared" si="133"/>
        <v>0</v>
      </c>
      <c r="AG345" s="17">
        <f t="shared" si="133"/>
        <v>0</v>
      </c>
      <c r="AH345" s="17">
        <f t="shared" si="133"/>
        <v>0</v>
      </c>
      <c r="AI345" s="17">
        <f t="shared" si="133"/>
        <v>1</v>
      </c>
      <c r="AJ345" s="17">
        <f t="shared" si="133"/>
        <v>328.13</v>
      </c>
      <c r="AK345" s="17">
        <f t="shared" si="133"/>
        <v>0</v>
      </c>
      <c r="AL345" s="17">
        <f t="shared" si="133"/>
        <v>0</v>
      </c>
      <c r="AM345" s="17">
        <f t="shared" si="133"/>
        <v>0</v>
      </c>
      <c r="AN345" s="17">
        <f t="shared" si="133"/>
        <v>0</v>
      </c>
      <c r="AO345" s="17">
        <f t="shared" si="133"/>
        <v>1</v>
      </c>
      <c r="AP345" s="17">
        <f>SUM(AP346:AP355)</f>
        <v>328.13</v>
      </c>
      <c r="AQ345" s="16"/>
      <c r="AR345" s="16"/>
      <c r="AS345" s="17">
        <f>SUM(AS346:AS355)</f>
        <v>151.87</v>
      </c>
      <c r="AT345" s="16"/>
      <c r="AU345" s="16"/>
      <c r="AV345" s="16"/>
      <c r="AW345" s="17">
        <f aca="true" t="shared" si="134" ref="AW345:BL345">SUM(AW346:AW355)</f>
        <v>0</v>
      </c>
      <c r="AX345" s="17">
        <f t="shared" si="134"/>
        <v>0</v>
      </c>
      <c r="AY345" s="17">
        <f t="shared" si="134"/>
        <v>0</v>
      </c>
      <c r="AZ345" s="17">
        <f t="shared" si="134"/>
        <v>0</v>
      </c>
      <c r="BA345" s="17">
        <f t="shared" si="134"/>
        <v>0</v>
      </c>
      <c r="BB345" s="17">
        <f t="shared" si="134"/>
        <v>0</v>
      </c>
      <c r="BC345" s="17">
        <f t="shared" si="134"/>
        <v>1</v>
      </c>
      <c r="BD345" s="17">
        <f t="shared" si="134"/>
        <v>328.13</v>
      </c>
      <c r="BE345" s="17">
        <f t="shared" si="134"/>
        <v>0</v>
      </c>
      <c r="BF345" s="17">
        <f t="shared" si="134"/>
        <v>0</v>
      </c>
      <c r="BG345" s="17">
        <f t="shared" si="134"/>
        <v>0</v>
      </c>
      <c r="BH345" s="17">
        <f t="shared" si="134"/>
        <v>0</v>
      </c>
      <c r="BI345" s="17">
        <f t="shared" si="134"/>
        <v>0</v>
      </c>
      <c r="BJ345" s="17">
        <f t="shared" si="134"/>
        <v>0</v>
      </c>
      <c r="BK345" s="17">
        <f t="shared" si="134"/>
        <v>1</v>
      </c>
      <c r="BL345" s="17">
        <f t="shared" si="134"/>
        <v>328.13</v>
      </c>
      <c r="BM345" s="17"/>
      <c r="BN345" s="17">
        <f>SUM(BN346:BN355)</f>
        <v>0</v>
      </c>
      <c r="BO345" s="16"/>
      <c r="BP345" s="16"/>
    </row>
    <row r="346" spans="1:68" s="19" customFormat="1" ht="14.25">
      <c r="A346" s="7"/>
      <c r="B346" s="64" t="s">
        <v>86</v>
      </c>
      <c r="C346" s="44"/>
      <c r="D346" s="3">
        <v>5360</v>
      </c>
      <c r="E346" s="21"/>
      <c r="F346" s="21"/>
      <c r="G346" s="7"/>
      <c r="H346" s="21">
        <f>C346*D346</f>
        <v>0</v>
      </c>
      <c r="I346" s="7"/>
      <c r="J346" s="7"/>
      <c r="K346" s="7"/>
      <c r="L346" s="7"/>
      <c r="M346" s="7"/>
      <c r="N346" s="7"/>
      <c r="O346" s="2">
        <f aca="true" t="shared" si="135" ref="O346:O355">SUM(E346:N346)</f>
        <v>0</v>
      </c>
      <c r="P346" s="19">
        <f>P345-O345</f>
        <v>8000</v>
      </c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2">
        <f aca="true" t="shared" si="136" ref="AO346:AP356">Q346+S346+U346+W346+Y346+AA346+AC346+AE346+AG346+AI346+AK346+AM346</f>
        <v>0</v>
      </c>
      <c r="AP346" s="2">
        <f t="shared" si="136"/>
        <v>0</v>
      </c>
      <c r="AQ346" s="7"/>
      <c r="AR346" s="7"/>
      <c r="AS346" s="2">
        <f t="shared" si="121"/>
        <v>0</v>
      </c>
      <c r="AT346" s="7"/>
      <c r="AU346" s="7"/>
      <c r="AV346" s="7"/>
      <c r="AW346" s="7"/>
      <c r="AX346" s="7"/>
      <c r="AY346" s="7"/>
      <c r="AZ346" s="7"/>
      <c r="BA346" s="7"/>
      <c r="BB346" s="7"/>
      <c r="BC346" s="70">
        <f t="shared" si="127"/>
        <v>0</v>
      </c>
      <c r="BD346" s="70">
        <f t="shared" si="127"/>
        <v>0</v>
      </c>
      <c r="BE346" s="7"/>
      <c r="BF346" s="7"/>
      <c r="BG346" s="7"/>
      <c r="BH346" s="7"/>
      <c r="BI346" s="7"/>
      <c r="BJ346" s="7"/>
      <c r="BK346" s="26">
        <f>AW346+AY346+BA346+BC346+BE346+BG346+BI346</f>
        <v>0</v>
      </c>
      <c r="BL346" s="26">
        <f aca="true" t="shared" si="137" ref="BL346:BL355">AX346+AZ346+BB346+BD346+BF346+BH346+BJ346</f>
        <v>0</v>
      </c>
      <c r="BM346" s="7"/>
      <c r="BN346" s="29">
        <f t="shared" si="120"/>
        <v>0</v>
      </c>
      <c r="BO346" s="7"/>
      <c r="BP346" s="7"/>
    </row>
    <row r="347" spans="1:68" s="19" customFormat="1" ht="14.25">
      <c r="A347" s="7"/>
      <c r="B347" s="61" t="s">
        <v>138</v>
      </c>
      <c r="C347" s="44"/>
      <c r="D347" s="3">
        <v>4640</v>
      </c>
      <c r="E347" s="21"/>
      <c r="F347" s="21"/>
      <c r="G347" s="7"/>
      <c r="H347" s="21">
        <f aca="true" t="shared" si="138" ref="H347:H352">C347*D347</f>
        <v>0</v>
      </c>
      <c r="I347" s="7"/>
      <c r="J347" s="7"/>
      <c r="K347" s="7"/>
      <c r="L347" s="7"/>
      <c r="M347" s="7"/>
      <c r="N347" s="7"/>
      <c r="O347" s="2">
        <f t="shared" si="135"/>
        <v>0</v>
      </c>
      <c r="P347" s="21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2">
        <f t="shared" si="136"/>
        <v>0</v>
      </c>
      <c r="AP347" s="2">
        <f t="shared" si="136"/>
        <v>0</v>
      </c>
      <c r="AQ347" s="7"/>
      <c r="AR347" s="7"/>
      <c r="AS347" s="2">
        <f t="shared" si="121"/>
        <v>0</v>
      </c>
      <c r="AT347" s="7"/>
      <c r="AU347" s="7"/>
      <c r="AV347" s="7"/>
      <c r="AW347" s="7"/>
      <c r="AX347" s="7"/>
      <c r="AY347" s="7"/>
      <c r="AZ347" s="7"/>
      <c r="BA347" s="7"/>
      <c r="BB347" s="7"/>
      <c r="BC347" s="70">
        <f t="shared" si="127"/>
        <v>0</v>
      </c>
      <c r="BD347" s="70">
        <f t="shared" si="127"/>
        <v>0</v>
      </c>
      <c r="BE347" s="7"/>
      <c r="BF347" s="7"/>
      <c r="BG347" s="7"/>
      <c r="BH347" s="7"/>
      <c r="BI347" s="7"/>
      <c r="BJ347" s="7"/>
      <c r="BK347" s="26">
        <f aca="true" t="shared" si="139" ref="BK347:BK355">AW347+AY347+BA347+BC347+BE347+BG347+BI347</f>
        <v>0</v>
      </c>
      <c r="BL347" s="26">
        <f t="shared" si="137"/>
        <v>0</v>
      </c>
      <c r="BM347" s="7"/>
      <c r="BN347" s="29">
        <f t="shared" si="120"/>
        <v>0</v>
      </c>
      <c r="BO347" s="7"/>
      <c r="BP347" s="7"/>
    </row>
    <row r="348" spans="1:68" s="19" customFormat="1" ht="14.25">
      <c r="A348" s="7"/>
      <c r="B348" s="61" t="s">
        <v>139</v>
      </c>
      <c r="C348" s="44"/>
      <c r="D348" s="3">
        <v>500</v>
      </c>
      <c r="E348" s="21"/>
      <c r="F348" s="21"/>
      <c r="G348" s="7"/>
      <c r="H348" s="21">
        <f t="shared" si="138"/>
        <v>0</v>
      </c>
      <c r="I348" s="7"/>
      <c r="J348" s="7"/>
      <c r="K348" s="7"/>
      <c r="L348" s="7"/>
      <c r="M348" s="7"/>
      <c r="N348" s="7"/>
      <c r="O348" s="2">
        <f t="shared" si="135"/>
        <v>0</v>
      </c>
      <c r="P348" s="21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21"/>
      <c r="AJ348" s="21"/>
      <c r="AK348" s="21"/>
      <c r="AL348" s="21"/>
      <c r="AM348" s="21"/>
      <c r="AN348" s="21"/>
      <c r="AO348" s="2">
        <f t="shared" si="136"/>
        <v>0</v>
      </c>
      <c r="AP348" s="2">
        <f t="shared" si="136"/>
        <v>0</v>
      </c>
      <c r="AQ348" s="7"/>
      <c r="AR348" s="7"/>
      <c r="AS348" s="2">
        <f t="shared" si="121"/>
        <v>0</v>
      </c>
      <c r="AT348" s="7"/>
      <c r="AU348" s="7"/>
      <c r="AV348" s="7"/>
      <c r="AW348" s="7"/>
      <c r="AX348" s="7"/>
      <c r="AY348" s="7"/>
      <c r="AZ348" s="7"/>
      <c r="BA348" s="7"/>
      <c r="BB348" s="7"/>
      <c r="BC348" s="70">
        <f t="shared" si="127"/>
        <v>0</v>
      </c>
      <c r="BD348" s="70">
        <f t="shared" si="127"/>
        <v>0</v>
      </c>
      <c r="BE348" s="7"/>
      <c r="BF348" s="7"/>
      <c r="BG348" s="7"/>
      <c r="BH348" s="7"/>
      <c r="BI348" s="7"/>
      <c r="BJ348" s="7"/>
      <c r="BK348" s="26">
        <f t="shared" si="139"/>
        <v>0</v>
      </c>
      <c r="BL348" s="26">
        <f t="shared" si="137"/>
        <v>0</v>
      </c>
      <c r="BM348" s="7"/>
      <c r="BN348" s="29">
        <f t="shared" si="120"/>
        <v>0</v>
      </c>
      <c r="BO348" s="7"/>
      <c r="BP348" s="7"/>
    </row>
    <row r="349" spans="1:68" s="19" customFormat="1" ht="14.25">
      <c r="A349" s="7"/>
      <c r="B349" s="61" t="s">
        <v>87</v>
      </c>
      <c r="C349" s="45"/>
      <c r="D349" s="3">
        <v>2960</v>
      </c>
      <c r="E349" s="21"/>
      <c r="F349" s="21"/>
      <c r="G349" s="7"/>
      <c r="H349" s="21">
        <f t="shared" si="138"/>
        <v>0</v>
      </c>
      <c r="I349" s="7"/>
      <c r="J349" s="7"/>
      <c r="K349" s="7"/>
      <c r="L349" s="7"/>
      <c r="M349" s="7"/>
      <c r="N349" s="7"/>
      <c r="O349" s="2">
        <f t="shared" si="135"/>
        <v>0</v>
      </c>
      <c r="P349" s="21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21"/>
      <c r="AJ349" s="21"/>
      <c r="AK349" s="21"/>
      <c r="AL349" s="21"/>
      <c r="AM349" s="21"/>
      <c r="AN349" s="21"/>
      <c r="AO349" s="2">
        <f t="shared" si="136"/>
        <v>0</v>
      </c>
      <c r="AP349" s="2">
        <f t="shared" si="136"/>
        <v>0</v>
      </c>
      <c r="AQ349" s="7"/>
      <c r="AR349" s="7"/>
      <c r="AS349" s="2">
        <f t="shared" si="121"/>
        <v>0</v>
      </c>
      <c r="AT349" s="7"/>
      <c r="AU349" s="7"/>
      <c r="AV349" s="7"/>
      <c r="AW349" s="7"/>
      <c r="AX349" s="7"/>
      <c r="AY349" s="7"/>
      <c r="AZ349" s="7"/>
      <c r="BA349" s="7"/>
      <c r="BB349" s="7"/>
      <c r="BC349" s="70">
        <f t="shared" si="127"/>
        <v>0</v>
      </c>
      <c r="BD349" s="70">
        <f t="shared" si="127"/>
        <v>0</v>
      </c>
      <c r="BE349" s="7"/>
      <c r="BF349" s="7"/>
      <c r="BG349" s="7"/>
      <c r="BH349" s="7"/>
      <c r="BI349" s="7"/>
      <c r="BJ349" s="7"/>
      <c r="BK349" s="26">
        <f t="shared" si="139"/>
        <v>0</v>
      </c>
      <c r="BL349" s="26">
        <f t="shared" si="137"/>
        <v>0</v>
      </c>
      <c r="BM349" s="7"/>
      <c r="BN349" s="29">
        <f aca="true" t="shared" si="140" ref="BN349:BN355">BL349-AP349</f>
        <v>0</v>
      </c>
      <c r="BO349" s="7"/>
      <c r="BP349" s="7"/>
    </row>
    <row r="350" spans="1:68" s="19" customFormat="1" ht="14.25">
      <c r="A350" s="21"/>
      <c r="B350" s="61" t="s">
        <v>165</v>
      </c>
      <c r="C350" s="45"/>
      <c r="D350" s="3">
        <v>2960</v>
      </c>
      <c r="E350" s="21"/>
      <c r="F350" s="21"/>
      <c r="G350" s="7"/>
      <c r="H350" s="21"/>
      <c r="I350" s="7">
        <f>C350*D350</f>
        <v>0</v>
      </c>
      <c r="J350" s="7"/>
      <c r="K350" s="7"/>
      <c r="L350" s="7"/>
      <c r="M350" s="7"/>
      <c r="N350" s="7"/>
      <c r="O350" s="2">
        <f t="shared" si="135"/>
        <v>0</v>
      </c>
      <c r="P350" s="21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21"/>
      <c r="AJ350" s="21"/>
      <c r="AK350" s="21"/>
      <c r="AL350" s="21"/>
      <c r="AM350" s="21"/>
      <c r="AN350" s="21"/>
      <c r="AO350" s="2">
        <f t="shared" si="136"/>
        <v>0</v>
      </c>
      <c r="AP350" s="2">
        <f t="shared" si="136"/>
        <v>0</v>
      </c>
      <c r="AQ350" s="7"/>
      <c r="AR350" s="7"/>
      <c r="AS350" s="2">
        <f aca="true" t="shared" si="141" ref="AS350:AS356">O350-AP350</f>
        <v>0</v>
      </c>
      <c r="AT350" s="7"/>
      <c r="AU350" s="7"/>
      <c r="AV350" s="7"/>
      <c r="AW350" s="7"/>
      <c r="AX350" s="7"/>
      <c r="AY350" s="7"/>
      <c r="AZ350" s="7"/>
      <c r="BA350" s="7"/>
      <c r="BB350" s="7"/>
      <c r="BC350" s="70">
        <f t="shared" si="127"/>
        <v>0</v>
      </c>
      <c r="BD350" s="70">
        <f t="shared" si="127"/>
        <v>0</v>
      </c>
      <c r="BE350" s="7"/>
      <c r="BF350" s="7"/>
      <c r="BG350" s="7"/>
      <c r="BH350" s="7"/>
      <c r="BI350" s="7"/>
      <c r="BJ350" s="7"/>
      <c r="BK350" s="26">
        <f t="shared" si="139"/>
        <v>0</v>
      </c>
      <c r="BL350" s="26">
        <f t="shared" si="137"/>
        <v>0</v>
      </c>
      <c r="BM350" s="7"/>
      <c r="BN350" s="29">
        <f t="shared" si="140"/>
        <v>0</v>
      </c>
      <c r="BO350" s="7"/>
      <c r="BP350" s="7"/>
    </row>
    <row r="351" spans="2:66" s="7" customFormat="1" ht="14.25">
      <c r="B351" s="61" t="s">
        <v>166</v>
      </c>
      <c r="C351" s="45">
        <v>1</v>
      </c>
      <c r="D351" s="3">
        <v>1280</v>
      </c>
      <c r="E351" s="21"/>
      <c r="F351" s="21"/>
      <c r="H351" s="21">
        <f t="shared" si="138"/>
        <v>1280</v>
      </c>
      <c r="J351" s="7">
        <v>-1280</v>
      </c>
      <c r="O351" s="2">
        <f t="shared" si="135"/>
        <v>0</v>
      </c>
      <c r="P351" s="21"/>
      <c r="AI351" s="21"/>
      <c r="AJ351" s="21"/>
      <c r="AK351" s="21"/>
      <c r="AL351" s="21"/>
      <c r="AM351" s="21"/>
      <c r="AN351" s="21"/>
      <c r="AO351" s="2">
        <f t="shared" si="136"/>
        <v>0</v>
      </c>
      <c r="AP351" s="2">
        <f t="shared" si="136"/>
        <v>0</v>
      </c>
      <c r="AS351" s="2">
        <f t="shared" si="141"/>
        <v>0</v>
      </c>
      <c r="BC351" s="70">
        <f t="shared" si="127"/>
        <v>0</v>
      </c>
      <c r="BD351" s="70">
        <f t="shared" si="127"/>
        <v>0</v>
      </c>
      <c r="BK351" s="26">
        <f t="shared" si="139"/>
        <v>0</v>
      </c>
      <c r="BL351" s="26">
        <f t="shared" si="137"/>
        <v>0</v>
      </c>
      <c r="BN351" s="29">
        <f t="shared" si="140"/>
        <v>0</v>
      </c>
    </row>
    <row r="352" spans="1:68" s="7" customFormat="1" ht="14.25">
      <c r="A352" s="23"/>
      <c r="B352" s="68" t="s">
        <v>221</v>
      </c>
      <c r="C352" s="36">
        <v>10</v>
      </c>
      <c r="D352" s="23">
        <v>320</v>
      </c>
      <c r="E352" s="21"/>
      <c r="F352" s="21"/>
      <c r="G352" s="21"/>
      <c r="H352" s="21">
        <f t="shared" si="138"/>
        <v>3200</v>
      </c>
      <c r="I352" s="23"/>
      <c r="J352" s="23">
        <v>-2720</v>
      </c>
      <c r="K352" s="23"/>
      <c r="L352" s="23"/>
      <c r="M352" s="23"/>
      <c r="N352" s="23"/>
      <c r="O352" s="2">
        <f t="shared" si="135"/>
        <v>480</v>
      </c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>
        <v>1</v>
      </c>
      <c r="AJ352" s="23">
        <v>328.13</v>
      </c>
      <c r="AK352" s="23"/>
      <c r="AL352" s="23"/>
      <c r="AM352" s="23"/>
      <c r="AN352" s="23"/>
      <c r="AO352" s="2">
        <f t="shared" si="136"/>
        <v>1</v>
      </c>
      <c r="AP352" s="2">
        <f t="shared" si="136"/>
        <v>328.13</v>
      </c>
      <c r="AQ352" s="23"/>
      <c r="AR352" s="23"/>
      <c r="AS352" s="2">
        <f t="shared" si="141"/>
        <v>151.87</v>
      </c>
      <c r="AT352" s="23"/>
      <c r="AU352" s="23"/>
      <c r="AV352" s="23"/>
      <c r="AW352" s="23"/>
      <c r="AX352" s="23"/>
      <c r="AY352" s="23"/>
      <c r="AZ352" s="23"/>
      <c r="BA352" s="23"/>
      <c r="BB352" s="23"/>
      <c r="BC352" s="70">
        <f t="shared" si="127"/>
        <v>1</v>
      </c>
      <c r="BD352" s="70">
        <f t="shared" si="127"/>
        <v>328.13</v>
      </c>
      <c r="BE352" s="23"/>
      <c r="BF352" s="23"/>
      <c r="BG352" s="23"/>
      <c r="BH352" s="23"/>
      <c r="BI352" s="23"/>
      <c r="BJ352" s="23"/>
      <c r="BK352" s="26">
        <f t="shared" si="139"/>
        <v>1</v>
      </c>
      <c r="BL352" s="26">
        <f t="shared" si="137"/>
        <v>328.13</v>
      </c>
      <c r="BM352" s="23"/>
      <c r="BN352" s="29">
        <f t="shared" si="140"/>
        <v>0</v>
      </c>
      <c r="BO352" s="23"/>
      <c r="BP352" s="23"/>
    </row>
    <row r="353" spans="1:68" s="7" customFormat="1" ht="14.25">
      <c r="A353"/>
      <c r="B353" s="68" t="s">
        <v>196</v>
      </c>
      <c r="C353"/>
      <c r="D353"/>
      <c r="E353" s="19"/>
      <c r="F353" s="19"/>
      <c r="G353" s="19"/>
      <c r="H353" s="38">
        <v>4000</v>
      </c>
      <c r="I353"/>
      <c r="J353">
        <v>-4000</v>
      </c>
      <c r="K353"/>
      <c r="L353"/>
      <c r="M353"/>
      <c r="N353"/>
      <c r="O353" s="2">
        <f t="shared" si="135"/>
        <v>0</v>
      </c>
      <c r="P353" s="19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 s="19"/>
      <c r="AJ353" s="19"/>
      <c r="AK353" s="19"/>
      <c r="AL353" s="19"/>
      <c r="AM353" s="19"/>
      <c r="AN353" s="19"/>
      <c r="AO353" s="2">
        <f t="shared" si="136"/>
        <v>0</v>
      </c>
      <c r="AP353" s="2">
        <f t="shared" si="136"/>
        <v>0</v>
      </c>
      <c r="AQ353"/>
      <c r="AR353"/>
      <c r="AS353" s="2">
        <f t="shared" si="141"/>
        <v>0</v>
      </c>
      <c r="AT353"/>
      <c r="AU353"/>
      <c r="AV353"/>
      <c r="AW353"/>
      <c r="AX353"/>
      <c r="AY353"/>
      <c r="AZ353"/>
      <c r="BA353"/>
      <c r="BB353"/>
      <c r="BC353" s="70">
        <f t="shared" si="127"/>
        <v>0</v>
      </c>
      <c r="BD353" s="70">
        <f t="shared" si="127"/>
        <v>0</v>
      </c>
      <c r="BE353"/>
      <c r="BF353"/>
      <c r="BG353"/>
      <c r="BH353"/>
      <c r="BI353"/>
      <c r="BJ353"/>
      <c r="BK353" s="26">
        <f t="shared" si="139"/>
        <v>0</v>
      </c>
      <c r="BL353" s="26">
        <f t="shared" si="137"/>
        <v>0</v>
      </c>
      <c r="BM353"/>
      <c r="BN353" s="29">
        <f t="shared" si="140"/>
        <v>0</v>
      </c>
      <c r="BO353"/>
      <c r="BP353"/>
    </row>
    <row r="354" spans="1:68" s="7" customFormat="1" ht="14.25">
      <c r="A354"/>
      <c r="B354" s="68" t="s">
        <v>206</v>
      </c>
      <c r="C354"/>
      <c r="D354"/>
      <c r="E354" s="19"/>
      <c r="F354" s="19"/>
      <c r="G354" s="19"/>
      <c r="H354" s="19"/>
      <c r="I354"/>
      <c r="J354"/>
      <c r="K354"/>
      <c r="L354"/>
      <c r="M354"/>
      <c r="N354"/>
      <c r="O354" s="2">
        <f t="shared" si="135"/>
        <v>0</v>
      </c>
      <c r="P354" s="19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 s="2">
        <f t="shared" si="136"/>
        <v>0</v>
      </c>
      <c r="AP354" s="2">
        <f t="shared" si="136"/>
        <v>0</v>
      </c>
      <c r="AQ354"/>
      <c r="AR354"/>
      <c r="AS354" s="2">
        <f t="shared" si="141"/>
        <v>0</v>
      </c>
      <c r="AT354"/>
      <c r="AU354"/>
      <c r="AV354"/>
      <c r="AW354"/>
      <c r="AX354"/>
      <c r="AY354"/>
      <c r="AZ354"/>
      <c r="BA354"/>
      <c r="BB354"/>
      <c r="BC354" s="70">
        <f t="shared" si="127"/>
        <v>0</v>
      </c>
      <c r="BD354" s="70">
        <f t="shared" si="127"/>
        <v>0</v>
      </c>
      <c r="BE354"/>
      <c r="BF354"/>
      <c r="BG354"/>
      <c r="BH354"/>
      <c r="BI354"/>
      <c r="BJ354"/>
      <c r="BK354" s="26">
        <f t="shared" si="139"/>
        <v>0</v>
      </c>
      <c r="BL354" s="26">
        <f t="shared" si="137"/>
        <v>0</v>
      </c>
      <c r="BM354"/>
      <c r="BN354" s="29">
        <f t="shared" si="140"/>
        <v>0</v>
      </c>
      <c r="BO354"/>
      <c r="BP354"/>
    </row>
    <row r="355" spans="1:68" s="7" customFormat="1" ht="14.25">
      <c r="A355"/>
      <c r="B355" s="68" t="s">
        <v>231</v>
      </c>
      <c r="C355"/>
      <c r="D355"/>
      <c r="E355"/>
      <c r="F355"/>
      <c r="G355" s="2"/>
      <c r="H355"/>
      <c r="I355"/>
      <c r="J355"/>
      <c r="K355"/>
      <c r="L355"/>
      <c r="M355"/>
      <c r="N355"/>
      <c r="O355" s="2">
        <f t="shared" si="135"/>
        <v>0</v>
      </c>
      <c r="P355" s="19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 s="2">
        <f t="shared" si="136"/>
        <v>0</v>
      </c>
      <c r="AP355" s="2">
        <f t="shared" si="136"/>
        <v>0</v>
      </c>
      <c r="AQ355"/>
      <c r="AR355"/>
      <c r="AS355" s="2">
        <f t="shared" si="141"/>
        <v>0</v>
      </c>
      <c r="AT355"/>
      <c r="AU355"/>
      <c r="AV355"/>
      <c r="AW355"/>
      <c r="AX355"/>
      <c r="AY355"/>
      <c r="AZ355"/>
      <c r="BA355"/>
      <c r="BB355"/>
      <c r="BC355" s="70">
        <f t="shared" si="127"/>
        <v>0</v>
      </c>
      <c r="BD355" s="70">
        <f t="shared" si="127"/>
        <v>0</v>
      </c>
      <c r="BE355"/>
      <c r="BF355"/>
      <c r="BG355"/>
      <c r="BH355"/>
      <c r="BI355"/>
      <c r="BJ355"/>
      <c r="BK355" s="26">
        <f t="shared" si="139"/>
        <v>0</v>
      </c>
      <c r="BL355" s="26">
        <f t="shared" si="137"/>
        <v>0</v>
      </c>
      <c r="BM355"/>
      <c r="BN355" s="29">
        <f t="shared" si="140"/>
        <v>0</v>
      </c>
      <c r="BO355"/>
      <c r="BP355"/>
    </row>
    <row r="356" spans="1:68" s="7" customFormat="1" ht="14.25">
      <c r="A356"/>
      <c r="B356" s="40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 s="19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 s="2">
        <f t="shared" si="136"/>
        <v>0</v>
      </c>
      <c r="AP356" s="2">
        <f t="shared" si="136"/>
        <v>0</v>
      </c>
      <c r="AQ356"/>
      <c r="AR356"/>
      <c r="AS356" s="2">
        <f t="shared" si="141"/>
        <v>0</v>
      </c>
      <c r="AT356"/>
      <c r="AU356"/>
      <c r="AV356"/>
      <c r="AW356"/>
      <c r="AX356"/>
      <c r="AY356"/>
      <c r="AZ356"/>
      <c r="BA356"/>
      <c r="BB356"/>
      <c r="BC356"/>
      <c r="BD356" s="71"/>
      <c r="BE356"/>
      <c r="BF356"/>
      <c r="BG356"/>
      <c r="BH356"/>
      <c r="BI356"/>
      <c r="BJ356"/>
      <c r="BK356"/>
      <c r="BL356"/>
      <c r="BM356"/>
      <c r="BN356"/>
      <c r="BO356"/>
      <c r="BP356"/>
    </row>
    <row r="357" spans="1:68" s="23" customFormat="1" ht="14.25">
      <c r="A357"/>
      <c r="B357" s="40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 s="19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T357"/>
      <c r="AU357"/>
      <c r="AV357"/>
      <c r="AW357"/>
      <c r="AX357"/>
      <c r="AY357"/>
      <c r="AZ357"/>
      <c r="BA357"/>
      <c r="BB357"/>
      <c r="BC357"/>
      <c r="BD357" s="71"/>
      <c r="BE357"/>
      <c r="BF357"/>
      <c r="BG357"/>
      <c r="BH357"/>
      <c r="BI357"/>
      <c r="BJ357"/>
      <c r="BK357"/>
      <c r="BL357"/>
      <c r="BM357"/>
      <c r="BN357"/>
      <c r="BO357"/>
      <c r="BP357"/>
    </row>
    <row r="360" ht="12.75">
      <c r="AS360" s="19"/>
    </row>
    <row r="361" spans="1:68" ht="15">
      <c r="A361" s="16"/>
      <c r="B361" s="67" t="s">
        <v>172</v>
      </c>
      <c r="C361" s="16" t="s">
        <v>197</v>
      </c>
      <c r="D361" s="16" t="s">
        <v>88</v>
      </c>
      <c r="E361" s="17">
        <f>SUM(E362:E365)</f>
        <v>0</v>
      </c>
      <c r="F361" s="17">
        <f>SUM(F362:F365)</f>
        <v>0</v>
      </c>
      <c r="G361" s="17">
        <f aca="true" t="shared" si="142" ref="G361:O361">SUM(G362:G365)</f>
        <v>0</v>
      </c>
      <c r="H361" s="17">
        <f t="shared" si="142"/>
        <v>368000</v>
      </c>
      <c r="I361" s="17">
        <f t="shared" si="142"/>
        <v>0</v>
      </c>
      <c r="J361" s="17">
        <f t="shared" si="142"/>
        <v>181020</v>
      </c>
      <c r="K361" s="17">
        <f t="shared" si="142"/>
        <v>0</v>
      </c>
      <c r="L361" s="17">
        <f t="shared" si="142"/>
        <v>0</v>
      </c>
      <c r="M361" s="17">
        <f t="shared" si="142"/>
        <v>0</v>
      </c>
      <c r="N361" s="17">
        <f t="shared" si="142"/>
        <v>0</v>
      </c>
      <c r="O361" s="17">
        <f t="shared" si="142"/>
        <v>549020</v>
      </c>
      <c r="P361" s="19">
        <v>368000</v>
      </c>
      <c r="Q361" s="17">
        <f>SUM(Q362:Q365)</f>
        <v>0</v>
      </c>
      <c r="R361" s="17">
        <f aca="true" t="shared" si="143" ref="R361:AO361">SUM(R362:R365)</f>
        <v>0</v>
      </c>
      <c r="S361" s="17">
        <f t="shared" si="143"/>
        <v>47</v>
      </c>
      <c r="T361" s="17">
        <f t="shared" si="143"/>
        <v>69360.25</v>
      </c>
      <c r="U361" s="17">
        <f t="shared" si="143"/>
        <v>52.758</v>
      </c>
      <c r="V361" s="17">
        <f t="shared" si="143"/>
        <v>84449.73</v>
      </c>
      <c r="W361" s="17">
        <f t="shared" si="143"/>
        <v>55</v>
      </c>
      <c r="X361" s="17">
        <f t="shared" si="143"/>
        <v>88038.5</v>
      </c>
      <c r="Y361" s="17">
        <f t="shared" si="143"/>
        <v>0</v>
      </c>
      <c r="Z361" s="17">
        <f t="shared" si="143"/>
        <v>0</v>
      </c>
      <c r="AA361" s="17">
        <f t="shared" si="143"/>
        <v>0</v>
      </c>
      <c r="AB361" s="17">
        <f t="shared" si="143"/>
        <v>0</v>
      </c>
      <c r="AC361" s="17">
        <f t="shared" si="143"/>
        <v>0</v>
      </c>
      <c r="AD361" s="17">
        <f t="shared" si="143"/>
        <v>0</v>
      </c>
      <c r="AE361" s="17">
        <f t="shared" si="143"/>
        <v>0</v>
      </c>
      <c r="AF361" s="17">
        <f t="shared" si="143"/>
        <v>0</v>
      </c>
      <c r="AG361" s="17">
        <f t="shared" si="143"/>
        <v>0</v>
      </c>
      <c r="AH361" s="17">
        <f t="shared" si="143"/>
        <v>0</v>
      </c>
      <c r="AI361" s="17">
        <f t="shared" si="143"/>
        <v>0</v>
      </c>
      <c r="AJ361" s="17">
        <f t="shared" si="143"/>
        <v>0</v>
      </c>
      <c r="AK361" s="17">
        <f t="shared" si="143"/>
        <v>20</v>
      </c>
      <c r="AL361" s="17">
        <f t="shared" si="143"/>
        <v>68000</v>
      </c>
      <c r="AM361" s="17">
        <f>SUM(AM362:AM365)</f>
        <v>42.714</v>
      </c>
      <c r="AN361" s="17">
        <f>SUM(AN362:AN365)</f>
        <v>166098.72</v>
      </c>
      <c r="AO361" s="17">
        <f t="shared" si="143"/>
        <v>217.472</v>
      </c>
      <c r="AP361" s="17">
        <f>SUM(AP362:AP365)</f>
        <v>475947.19999999995</v>
      </c>
      <c r="AQ361" s="16"/>
      <c r="AR361" s="16"/>
      <c r="AS361" s="16"/>
      <c r="AT361" s="16"/>
      <c r="AU361" s="16"/>
      <c r="AV361" s="16"/>
      <c r="AW361" s="17">
        <f aca="true" t="shared" si="144" ref="AW361:BL361">SUM(AW362:AW365)</f>
        <v>0</v>
      </c>
      <c r="AX361" s="17">
        <f t="shared" si="144"/>
        <v>0</v>
      </c>
      <c r="AY361" s="17">
        <f t="shared" si="144"/>
        <v>0</v>
      </c>
      <c r="AZ361" s="17">
        <f t="shared" si="144"/>
        <v>0</v>
      </c>
      <c r="BA361" s="17">
        <f t="shared" si="144"/>
        <v>0</v>
      </c>
      <c r="BB361" s="17">
        <f t="shared" si="144"/>
        <v>0</v>
      </c>
      <c r="BC361" s="17">
        <f t="shared" si="144"/>
        <v>217.472</v>
      </c>
      <c r="BD361" s="17">
        <f t="shared" si="144"/>
        <v>475947.19999999995</v>
      </c>
      <c r="BE361" s="17">
        <f t="shared" si="144"/>
        <v>0</v>
      </c>
      <c r="BF361" s="17">
        <f t="shared" si="144"/>
        <v>0</v>
      </c>
      <c r="BG361" s="17">
        <f t="shared" si="144"/>
        <v>0</v>
      </c>
      <c r="BH361" s="17">
        <f t="shared" si="144"/>
        <v>0</v>
      </c>
      <c r="BI361" s="17">
        <f t="shared" si="144"/>
        <v>0</v>
      </c>
      <c r="BJ361" s="17">
        <f t="shared" si="144"/>
        <v>0</v>
      </c>
      <c r="BK361" s="17">
        <f t="shared" si="144"/>
        <v>234.198</v>
      </c>
      <c r="BL361" s="17">
        <f t="shared" si="144"/>
        <v>511944.48</v>
      </c>
      <c r="BM361" s="17"/>
      <c r="BN361" s="17">
        <f>SUM(BN362:BN365)</f>
        <v>0</v>
      </c>
      <c r="BO361" s="16"/>
      <c r="BP361" s="16"/>
    </row>
    <row r="362" spans="1:68" ht="28.5">
      <c r="A362" s="14"/>
      <c r="B362" s="64" t="s">
        <v>223</v>
      </c>
      <c r="C362" s="2"/>
      <c r="D362" s="2">
        <v>1540</v>
      </c>
      <c r="E362" s="7"/>
      <c r="F362" s="7"/>
      <c r="G362" s="14"/>
      <c r="H362" s="8">
        <f>C362*D362</f>
        <v>0</v>
      </c>
      <c r="I362" s="14"/>
      <c r="J362" s="14"/>
      <c r="K362" s="14"/>
      <c r="L362" s="14"/>
      <c r="M362" s="14"/>
      <c r="N362" s="14"/>
      <c r="O362" s="2">
        <f>SUM(E362:N362)</f>
        <v>0</v>
      </c>
      <c r="P362" s="19">
        <f>P361-O361</f>
        <v>-181020</v>
      </c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2">
        <f aca="true" t="shared" si="145" ref="AO362:AP364">Q362+S362+U362+W362+Y362+AA362+AC362+AE362+AG362+AI362+AK362+AM362</f>
        <v>0</v>
      </c>
      <c r="AP362" s="2">
        <f t="shared" si="145"/>
        <v>0</v>
      </c>
      <c r="AQ362" s="14"/>
      <c r="AR362" s="14"/>
      <c r="AS362" s="2">
        <f>O362-AP362</f>
        <v>0</v>
      </c>
      <c r="AT362" s="14"/>
      <c r="AU362" s="14"/>
      <c r="AV362" s="14"/>
      <c r="AW362" s="14"/>
      <c r="AX362" s="14"/>
      <c r="AY362" s="14"/>
      <c r="AZ362" s="14"/>
      <c r="BA362" s="14"/>
      <c r="BB362" s="14"/>
      <c r="BC362" s="70">
        <f aca="true" t="shared" si="146" ref="BC362:BD364">AO362</f>
        <v>0</v>
      </c>
      <c r="BD362" s="70">
        <f t="shared" si="146"/>
        <v>0</v>
      </c>
      <c r="BE362" s="14"/>
      <c r="BF362" s="14"/>
      <c r="BG362" s="14"/>
      <c r="BH362" s="14"/>
      <c r="BI362" s="14"/>
      <c r="BJ362" s="14"/>
      <c r="BK362" s="26">
        <f>AW362+AY362+BA362+BC362+BE362+BG362+BI362</f>
        <v>0</v>
      </c>
      <c r="BL362" s="26">
        <f>AX362+AZ362+BB362+BD362+BF362+BH362+BJ362</f>
        <v>0</v>
      </c>
      <c r="BM362" s="14"/>
      <c r="BN362" s="29">
        <f>BL362-AP362</f>
        <v>0</v>
      </c>
      <c r="BO362" s="14"/>
      <c r="BP362" s="14"/>
    </row>
    <row r="363" spans="1:68" ht="28.5">
      <c r="A363" s="4"/>
      <c r="B363" s="64" t="s">
        <v>222</v>
      </c>
      <c r="C363" s="63">
        <v>230</v>
      </c>
      <c r="D363" s="2">
        <v>1600</v>
      </c>
      <c r="E363" s="7"/>
      <c r="F363" s="7"/>
      <c r="G363" s="4"/>
      <c r="H363" s="8">
        <f>C363*D363</f>
        <v>368000</v>
      </c>
      <c r="I363" s="4"/>
      <c r="J363" s="4">
        <v>181020</v>
      </c>
      <c r="K363" s="4"/>
      <c r="L363" s="4"/>
      <c r="M363" s="4"/>
      <c r="N363" s="4"/>
      <c r="O363" s="2">
        <f>SUM(E363:N363)</f>
        <v>549020</v>
      </c>
      <c r="P363" s="23"/>
      <c r="Q363" s="4"/>
      <c r="R363" s="4"/>
      <c r="S363" s="4">
        <v>47</v>
      </c>
      <c r="T363" s="4">
        <v>69360.25</v>
      </c>
      <c r="U363" s="4">
        <v>52.758</v>
      </c>
      <c r="V363" s="4">
        <v>84449.73</v>
      </c>
      <c r="W363" s="4">
        <v>55</v>
      </c>
      <c r="X363" s="4">
        <v>88038.5</v>
      </c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>
        <v>20</v>
      </c>
      <c r="AL363" s="4">
        <v>68000</v>
      </c>
      <c r="AM363" s="23">
        <f>16.94+42.5</f>
        <v>59.44</v>
      </c>
      <c r="AN363" s="23">
        <f>57596+144500</f>
        <v>202096</v>
      </c>
      <c r="AO363" s="2">
        <f t="shared" si="145"/>
        <v>234.198</v>
      </c>
      <c r="AP363" s="2">
        <f t="shared" si="145"/>
        <v>511944.48</v>
      </c>
      <c r="AQ363" s="4"/>
      <c r="AR363" s="4"/>
      <c r="AS363" s="2">
        <f>O363-AP363</f>
        <v>37075.52000000002</v>
      </c>
      <c r="AT363" s="4"/>
      <c r="AU363" s="4"/>
      <c r="AV363" s="4"/>
      <c r="AW363" s="4"/>
      <c r="AX363" s="4"/>
      <c r="AY363" s="4"/>
      <c r="AZ363" s="4"/>
      <c r="BA363" s="4"/>
      <c r="BB363" s="4"/>
      <c r="BC363" s="70">
        <f t="shared" si="146"/>
        <v>234.198</v>
      </c>
      <c r="BD363" s="70">
        <f t="shared" si="146"/>
        <v>511944.48</v>
      </c>
      <c r="BE363" s="4"/>
      <c r="BF363" s="4"/>
      <c r="BG363" s="4"/>
      <c r="BH363" s="4"/>
      <c r="BI363" s="4"/>
      <c r="BJ363" s="4"/>
      <c r="BK363" s="26">
        <f>AW363+AY363+BA363+BC363+BE363+BG363+BI363</f>
        <v>234.198</v>
      </c>
      <c r="BL363" s="26">
        <f>AX363+AZ363+BB363+BD363+BF363+BH363+BJ363</f>
        <v>511944.48</v>
      </c>
      <c r="BM363" s="4"/>
      <c r="BN363" s="29">
        <f>BL363-AP363</f>
        <v>0</v>
      </c>
      <c r="BO363" s="4"/>
      <c r="BP363" s="4"/>
    </row>
    <row r="364" spans="2:64" ht="28.5">
      <c r="B364" s="64" t="s">
        <v>462</v>
      </c>
      <c r="C364" s="2"/>
      <c r="D364" s="2"/>
      <c r="E364" s="7"/>
      <c r="F364" s="7"/>
      <c r="H364" s="14"/>
      <c r="O364" s="2">
        <f>SUM(E364:N364)</f>
        <v>0</v>
      </c>
      <c r="AM364">
        <f>-3.45-7.91-5.366</f>
        <v>-16.726</v>
      </c>
      <c r="AN364">
        <v>-35997.28</v>
      </c>
      <c r="AO364" s="2">
        <f t="shared" si="145"/>
        <v>-16.726</v>
      </c>
      <c r="AP364" s="2">
        <f t="shared" si="145"/>
        <v>-35997.28</v>
      </c>
      <c r="BC364" s="70">
        <f t="shared" si="146"/>
        <v>-16.726</v>
      </c>
      <c r="BD364" s="70">
        <f t="shared" si="146"/>
        <v>-35997.28</v>
      </c>
      <c r="BK364" s="26"/>
      <c r="BL364" s="26"/>
    </row>
    <row r="366" spans="2:66" s="16" customFormat="1" ht="15">
      <c r="B366" s="67" t="s">
        <v>140</v>
      </c>
      <c r="C366" s="16" t="s">
        <v>49</v>
      </c>
      <c r="D366" s="16" t="s">
        <v>88</v>
      </c>
      <c r="E366" s="17">
        <f>SUM(E367:E369)</f>
        <v>0</v>
      </c>
      <c r="F366" s="17">
        <f>SUM(F367:F369)</f>
        <v>0</v>
      </c>
      <c r="G366" s="17">
        <f aca="true" t="shared" si="147" ref="G366:N366">SUM(G367:G369)</f>
        <v>0</v>
      </c>
      <c r="H366" s="17">
        <f t="shared" si="147"/>
        <v>0</v>
      </c>
      <c r="I366" s="17">
        <f t="shared" si="147"/>
        <v>0</v>
      </c>
      <c r="J366" s="17">
        <f t="shared" si="147"/>
        <v>0</v>
      </c>
      <c r="K366" s="17">
        <f t="shared" si="147"/>
        <v>0</v>
      </c>
      <c r="L366" s="17">
        <f t="shared" si="147"/>
        <v>0</v>
      </c>
      <c r="M366" s="17">
        <f t="shared" si="147"/>
        <v>0</v>
      </c>
      <c r="N366" s="17">
        <f t="shared" si="147"/>
        <v>0</v>
      </c>
      <c r="O366" s="16">
        <f>SUM(E366:N366)</f>
        <v>0</v>
      </c>
      <c r="P366" s="19">
        <v>0</v>
      </c>
      <c r="Q366" s="17">
        <f aca="true" t="shared" si="148" ref="Q366:AP366">Q368</f>
        <v>0</v>
      </c>
      <c r="R366" s="17">
        <f t="shared" si="148"/>
        <v>0</v>
      </c>
      <c r="S366" s="17">
        <f t="shared" si="148"/>
        <v>0</v>
      </c>
      <c r="T366" s="17">
        <f t="shared" si="148"/>
        <v>0</v>
      </c>
      <c r="U366" s="17">
        <f t="shared" si="148"/>
        <v>0</v>
      </c>
      <c r="V366" s="17">
        <f t="shared" si="148"/>
        <v>0</v>
      </c>
      <c r="W366" s="17">
        <f t="shared" si="148"/>
        <v>0</v>
      </c>
      <c r="X366" s="17">
        <f t="shared" si="148"/>
        <v>0</v>
      </c>
      <c r="Y366" s="17">
        <f t="shared" si="148"/>
        <v>0</v>
      </c>
      <c r="Z366" s="17">
        <f t="shared" si="148"/>
        <v>0</v>
      </c>
      <c r="AA366" s="17">
        <f t="shared" si="148"/>
        <v>0</v>
      </c>
      <c r="AB366" s="17">
        <f t="shared" si="148"/>
        <v>0</v>
      </c>
      <c r="AC366" s="17">
        <f t="shared" si="148"/>
        <v>0</v>
      </c>
      <c r="AD366" s="17">
        <f t="shared" si="148"/>
        <v>0</v>
      </c>
      <c r="AE366" s="17">
        <f t="shared" si="148"/>
        <v>0</v>
      </c>
      <c r="AF366" s="17">
        <f t="shared" si="148"/>
        <v>0</v>
      </c>
      <c r="AG366" s="17">
        <f t="shared" si="148"/>
        <v>0</v>
      </c>
      <c r="AH366" s="17">
        <f t="shared" si="148"/>
        <v>0</v>
      </c>
      <c r="AI366" s="17">
        <f t="shared" si="148"/>
        <v>0</v>
      </c>
      <c r="AJ366" s="17">
        <f t="shared" si="148"/>
        <v>0</v>
      </c>
      <c r="AK366" s="17">
        <f t="shared" si="148"/>
        <v>0</v>
      </c>
      <c r="AL366" s="17">
        <f t="shared" si="148"/>
        <v>0</v>
      </c>
      <c r="AM366" s="17">
        <f t="shared" si="148"/>
        <v>0</v>
      </c>
      <c r="AN366" s="17">
        <f t="shared" si="148"/>
        <v>0</v>
      </c>
      <c r="AO366" s="17">
        <f t="shared" si="148"/>
        <v>0</v>
      </c>
      <c r="AP366" s="17">
        <f t="shared" si="148"/>
        <v>0</v>
      </c>
      <c r="AW366" s="17">
        <f aca="true" t="shared" si="149" ref="AW366:BL366">AW368</f>
        <v>0</v>
      </c>
      <c r="AX366" s="17">
        <f t="shared" si="149"/>
        <v>0</v>
      </c>
      <c r="AY366" s="17">
        <f t="shared" si="149"/>
        <v>0</v>
      </c>
      <c r="AZ366" s="17">
        <f t="shared" si="149"/>
        <v>0</v>
      </c>
      <c r="BA366" s="17">
        <f t="shared" si="149"/>
        <v>0</v>
      </c>
      <c r="BB366" s="17">
        <f t="shared" si="149"/>
        <v>0</v>
      </c>
      <c r="BC366" s="17">
        <f t="shared" si="149"/>
        <v>0</v>
      </c>
      <c r="BD366" s="17">
        <f t="shared" si="149"/>
        <v>0</v>
      </c>
      <c r="BE366" s="17">
        <f t="shared" si="149"/>
        <v>0</v>
      </c>
      <c r="BF366" s="17">
        <f t="shared" si="149"/>
        <v>0</v>
      </c>
      <c r="BG366" s="17">
        <f t="shared" si="149"/>
        <v>0</v>
      </c>
      <c r="BH366" s="17">
        <f t="shared" si="149"/>
        <v>0</v>
      </c>
      <c r="BI366" s="17">
        <f t="shared" si="149"/>
        <v>0</v>
      </c>
      <c r="BJ366" s="17">
        <f t="shared" si="149"/>
        <v>0</v>
      </c>
      <c r="BK366" s="17">
        <f t="shared" si="149"/>
        <v>0</v>
      </c>
      <c r="BL366" s="17">
        <f t="shared" si="149"/>
        <v>0</v>
      </c>
      <c r="BM366" s="17"/>
      <c r="BN366" s="17">
        <f>BN368</f>
        <v>0</v>
      </c>
    </row>
    <row r="367" spans="2:56" s="14" customFormat="1" ht="12.75">
      <c r="B367" s="80"/>
      <c r="O367" s="2">
        <f>SUM(E367:N367)</f>
        <v>0</v>
      </c>
      <c r="P367" s="19">
        <f>P366-O366</f>
        <v>0</v>
      </c>
      <c r="BD367" s="71"/>
    </row>
    <row r="368" spans="2:66" s="4" customFormat="1" ht="14.25">
      <c r="B368" s="64" t="s">
        <v>283</v>
      </c>
      <c r="C368" s="46"/>
      <c r="D368" s="36"/>
      <c r="E368" s="7"/>
      <c r="F368" s="7"/>
      <c r="O368" s="2">
        <f>SUM(E368:N368)</f>
        <v>0</v>
      </c>
      <c r="P368" s="23"/>
      <c r="AO368" s="2">
        <f>Q368+S368+U368+W368+Y368+AA368+AC368+AE368+AG368+AI368+AK368+AM368</f>
        <v>0</v>
      </c>
      <c r="AP368" s="2">
        <f>R368+T368+V368+X368+Z368+AB368+AD368+AF368+AH368+AJ368+AL368+AN368</f>
        <v>0</v>
      </c>
      <c r="AS368" s="2">
        <f>O368-AP368</f>
        <v>0</v>
      </c>
      <c r="BC368" s="70">
        <f>AO368</f>
        <v>0</v>
      </c>
      <c r="BD368" s="70">
        <f>AP368</f>
        <v>0</v>
      </c>
      <c r="BK368" s="26">
        <f>AW368+AY368+BA368+BC368+BE368+BG368+BI368</f>
        <v>0</v>
      </c>
      <c r="BL368" s="26">
        <f>AX368+AZ368+BB368+BD368+BF368+BH368+BJ368</f>
        <v>0</v>
      </c>
      <c r="BN368" s="29">
        <f>BL368-AP368</f>
        <v>0</v>
      </c>
    </row>
    <row r="369" spans="2:56" ht="14.25">
      <c r="B369" s="64"/>
      <c r="E369" s="7"/>
      <c r="F369" s="7"/>
      <c r="O369" s="2">
        <f>SUM(E369:N369)</f>
        <v>0</v>
      </c>
      <c r="BC369" s="70">
        <f>AO369</f>
        <v>0</v>
      </c>
      <c r="BD369" s="70">
        <f>AP369</f>
        <v>0</v>
      </c>
    </row>
    <row r="371" spans="2:66" s="16" customFormat="1" ht="15">
      <c r="B371" s="67" t="s">
        <v>141</v>
      </c>
      <c r="C371" s="16" t="s">
        <v>90</v>
      </c>
      <c r="D371" s="65" t="s">
        <v>88</v>
      </c>
      <c r="E371" s="17">
        <f>SUM(E372:E375)</f>
        <v>0</v>
      </c>
      <c r="F371" s="17">
        <f>SUM(F373:F375)</f>
        <v>0</v>
      </c>
      <c r="G371" s="17">
        <f aca="true" t="shared" si="150" ref="G371:N371">SUM(G372:G375)</f>
        <v>0</v>
      </c>
      <c r="H371" s="17">
        <f t="shared" si="150"/>
        <v>99629</v>
      </c>
      <c r="I371" s="17">
        <f t="shared" si="150"/>
        <v>0</v>
      </c>
      <c r="J371" s="17">
        <f t="shared" si="150"/>
        <v>-25690</v>
      </c>
      <c r="K371" s="17">
        <f t="shared" si="150"/>
        <v>0</v>
      </c>
      <c r="L371" s="17">
        <f t="shared" si="150"/>
        <v>0</v>
      </c>
      <c r="M371" s="17">
        <f t="shared" si="150"/>
        <v>0</v>
      </c>
      <c r="N371" s="17">
        <f t="shared" si="150"/>
        <v>0</v>
      </c>
      <c r="O371" s="34">
        <f>SUM(E371:N371)</f>
        <v>73939</v>
      </c>
      <c r="P371" s="57"/>
      <c r="Q371" s="17">
        <f aca="true" t="shared" si="151" ref="Q371:V371">SUM(Q372:Q375)</f>
        <v>601</v>
      </c>
      <c r="R371" s="17">
        <f t="shared" si="151"/>
        <v>2163.6</v>
      </c>
      <c r="S371" s="17">
        <f t="shared" si="151"/>
        <v>2540</v>
      </c>
      <c r="T371" s="17">
        <f t="shared" si="151"/>
        <v>9652.1</v>
      </c>
      <c r="U371" s="17">
        <f t="shared" si="151"/>
        <v>1126</v>
      </c>
      <c r="V371" s="17">
        <f t="shared" si="151"/>
        <v>3605.12</v>
      </c>
      <c r="W371" s="17">
        <f aca="true" t="shared" si="152" ref="W371:AM371">SUM(W372:W375)</f>
        <v>1485</v>
      </c>
      <c r="X371" s="17">
        <f t="shared" si="152"/>
        <v>5322.78</v>
      </c>
      <c r="Y371" s="17">
        <f t="shared" si="152"/>
        <v>1282</v>
      </c>
      <c r="Z371" s="17">
        <f t="shared" si="152"/>
        <v>4136.1</v>
      </c>
      <c r="AA371" s="17">
        <f t="shared" si="152"/>
        <v>278</v>
      </c>
      <c r="AB371" s="17">
        <f t="shared" si="152"/>
        <v>977.28</v>
      </c>
      <c r="AC371" s="17">
        <f t="shared" si="152"/>
        <v>265</v>
      </c>
      <c r="AD371" s="17">
        <f t="shared" si="152"/>
        <v>931.59</v>
      </c>
      <c r="AE371" s="17">
        <f t="shared" si="152"/>
        <v>1583</v>
      </c>
      <c r="AF371" s="17">
        <f t="shared" si="152"/>
        <v>6120.84</v>
      </c>
      <c r="AG371" s="17">
        <f t="shared" si="152"/>
        <v>1789</v>
      </c>
      <c r="AH371" s="17">
        <f t="shared" si="152"/>
        <v>7420.24</v>
      </c>
      <c r="AI371" s="17">
        <f t="shared" si="152"/>
        <v>1548</v>
      </c>
      <c r="AJ371" s="17">
        <f t="shared" si="152"/>
        <v>7062.08</v>
      </c>
      <c r="AK371" s="17">
        <f t="shared" si="152"/>
        <v>724</v>
      </c>
      <c r="AL371" s="17">
        <f t="shared" si="152"/>
        <v>4666.84</v>
      </c>
      <c r="AM371" s="17">
        <f t="shared" si="152"/>
        <v>817</v>
      </c>
      <c r="AN371" s="17">
        <f>SUM(AN372:AN375)</f>
        <v>4099.5599999999995</v>
      </c>
      <c r="AO371" s="51">
        <f>SUM(AO372:AO375)</f>
        <v>0</v>
      </c>
      <c r="AP371" s="51">
        <f>SUM(AP372:AP375)</f>
        <v>56158.130000000005</v>
      </c>
      <c r="AQ371" s="17"/>
      <c r="AR371" s="17"/>
      <c r="AS371" s="17">
        <f>SUM(AS372:AS375)</f>
        <v>17780.869999999995</v>
      </c>
      <c r="AX371" s="17">
        <f aca="true" t="shared" si="153" ref="AX371:BI371">SUM(AX372:AX375)</f>
        <v>0</v>
      </c>
      <c r="AY371" s="17">
        <f>SUM(AY373:AY375)</f>
        <v>0</v>
      </c>
      <c r="AZ371" s="17">
        <f>SUM(AZ373:AZ375)</f>
        <v>0</v>
      </c>
      <c r="BA371" s="17">
        <f t="shared" si="153"/>
        <v>0</v>
      </c>
      <c r="BB371" s="17">
        <f t="shared" si="153"/>
        <v>0</v>
      </c>
      <c r="BC371" s="17">
        <f t="shared" si="153"/>
        <v>0</v>
      </c>
      <c r="BD371" s="17">
        <f t="shared" si="153"/>
        <v>56158.130000000005</v>
      </c>
      <c r="BE371" s="17">
        <f t="shared" si="153"/>
        <v>0</v>
      </c>
      <c r="BF371" s="17">
        <f t="shared" si="153"/>
        <v>0</v>
      </c>
      <c r="BG371" s="17">
        <f t="shared" si="153"/>
        <v>0</v>
      </c>
      <c r="BH371" s="17">
        <f t="shared" si="153"/>
        <v>0</v>
      </c>
      <c r="BI371" s="17">
        <f t="shared" si="153"/>
        <v>0</v>
      </c>
      <c r="BJ371" s="17">
        <f>SUM(BJ372:BJ375)</f>
        <v>0</v>
      </c>
      <c r="BK371" s="17">
        <f>SUM(BK372:BK375)</f>
        <v>0</v>
      </c>
      <c r="BL371" s="17">
        <f>SUM(BL372:BL375)</f>
        <v>56158.130000000005</v>
      </c>
      <c r="BM371" s="17"/>
      <c r="BN371" s="17">
        <f>SUM(BN372:BN375)</f>
        <v>0</v>
      </c>
    </row>
    <row r="372" spans="2:66" s="14" customFormat="1" ht="12.75">
      <c r="B372" s="80" t="s">
        <v>370</v>
      </c>
      <c r="P372" s="19"/>
      <c r="U372">
        <f>-578-575</f>
        <v>-1153</v>
      </c>
      <c r="V372">
        <f>-2080.8-2185</f>
        <v>-4265.8</v>
      </c>
      <c r="AK372" s="14">
        <f>-661-574</f>
        <v>-1235</v>
      </c>
      <c r="AL372" s="14">
        <f>-2282.83-2880.22</f>
        <v>-5163.049999999999</v>
      </c>
      <c r="AM372" s="14">
        <v>-430</v>
      </c>
      <c r="AN372" s="14">
        <v>-2157.65</v>
      </c>
      <c r="AP372" s="2">
        <f>R372+T372+V372+X372+Z372+AB372+AD372+AF372+AH372+AJ372+AL372+AN372</f>
        <v>-11586.499999999998</v>
      </c>
      <c r="AS372" s="2">
        <f>O372-AP372</f>
        <v>11586.499999999998</v>
      </c>
      <c r="BC372" s="70">
        <f>AO372</f>
        <v>0</v>
      </c>
      <c r="BD372" s="70">
        <f>AP372</f>
        <v>-11586.499999999998</v>
      </c>
      <c r="BK372" s="26">
        <f aca="true" t="shared" si="154" ref="BK372:BL375">AW372+AY372+BA372+BC372+BE372+BG372+BI372</f>
        <v>0</v>
      </c>
      <c r="BL372" s="26">
        <f t="shared" si="154"/>
        <v>-11586.499999999998</v>
      </c>
      <c r="BN372" s="29">
        <f>BL372-AP372</f>
        <v>0</v>
      </c>
    </row>
    <row r="373" spans="2:66" s="4" customFormat="1" ht="14.25">
      <c r="B373" s="64" t="s">
        <v>89</v>
      </c>
      <c r="C373" s="47">
        <v>29603</v>
      </c>
      <c r="D373" s="83">
        <v>3.1</v>
      </c>
      <c r="E373" s="21"/>
      <c r="F373" s="21"/>
      <c r="G373" s="21"/>
      <c r="H373" s="21">
        <f>ROUND(C373*D373,0)+1</f>
        <v>91770</v>
      </c>
      <c r="I373" s="23"/>
      <c r="J373" s="4">
        <v>-23540</v>
      </c>
      <c r="O373" s="2">
        <f>SUM(E373:N373)</f>
        <v>68230</v>
      </c>
      <c r="P373" s="23"/>
      <c r="Q373" s="4">
        <v>601</v>
      </c>
      <c r="R373" s="4">
        <v>2163.6</v>
      </c>
      <c r="S373" s="4">
        <v>2540</v>
      </c>
      <c r="T373" s="4">
        <v>9652.1</v>
      </c>
      <c r="U373" s="4">
        <v>2279</v>
      </c>
      <c r="V373" s="4">
        <v>7870.92</v>
      </c>
      <c r="W373" s="4">
        <v>1485</v>
      </c>
      <c r="X373" s="4">
        <v>5322.78</v>
      </c>
      <c r="Y373" s="4">
        <v>1282</v>
      </c>
      <c r="Z373" s="4">
        <v>4136.1</v>
      </c>
      <c r="AA373" s="4">
        <v>278</v>
      </c>
      <c r="AB373" s="4">
        <v>977.28</v>
      </c>
      <c r="AC373" s="4">
        <v>265</v>
      </c>
      <c r="AD373" s="4">
        <v>931.59</v>
      </c>
      <c r="AE373" s="4">
        <v>1583</v>
      </c>
      <c r="AF373" s="4">
        <v>6120.84</v>
      </c>
      <c r="AG373" s="4">
        <v>1789</v>
      </c>
      <c r="AH373" s="4">
        <v>7420.24</v>
      </c>
      <c r="AI373" s="4">
        <v>1548</v>
      </c>
      <c r="AJ373" s="4">
        <v>7062.08</v>
      </c>
      <c r="AK373" s="4">
        <v>1959</v>
      </c>
      <c r="AL373" s="4">
        <v>9829.89</v>
      </c>
      <c r="AM373" s="4">
        <v>1247</v>
      </c>
      <c r="AN373" s="4">
        <v>6257.21</v>
      </c>
      <c r="AO373" s="2"/>
      <c r="AP373" s="2">
        <f>R373+T373+V373+X373+Z373+AB373+AD373+AF373+AH373+AJ373+AL373+AN373</f>
        <v>67744.63</v>
      </c>
      <c r="AS373" s="2">
        <f>O373-AP373</f>
        <v>485.36999999999534</v>
      </c>
      <c r="BC373" s="70">
        <f aca="true" t="shared" si="155" ref="BC373:BD375">AO373</f>
        <v>0</v>
      </c>
      <c r="BD373" s="70">
        <f t="shared" si="155"/>
        <v>67744.63</v>
      </c>
      <c r="BK373" s="26">
        <f t="shared" si="154"/>
        <v>0</v>
      </c>
      <c r="BL373" s="26">
        <f t="shared" si="154"/>
        <v>67744.63</v>
      </c>
      <c r="BN373" s="29">
        <f>BL373-AP373</f>
        <v>0</v>
      </c>
    </row>
    <row r="374" spans="2:66" ht="14.25">
      <c r="B374" s="61" t="s">
        <v>167</v>
      </c>
      <c r="C374" s="38"/>
      <c r="D374" s="83">
        <v>3.1</v>
      </c>
      <c r="E374" s="21"/>
      <c r="F374" s="21"/>
      <c r="G374" s="21"/>
      <c r="H374" s="21"/>
      <c r="I374" s="21">
        <f>ROUND(C374*D374,0)</f>
        <v>0</v>
      </c>
      <c r="O374" s="2">
        <f>SUM(E374:N374)</f>
        <v>0</v>
      </c>
      <c r="AO374" s="2"/>
      <c r="AP374" s="2">
        <f>R374+T374+V374+X374+Z374+AB374+AD374+AF374+AH374+AJ374+AL374+AN374</f>
        <v>0</v>
      </c>
      <c r="AQ374" s="4"/>
      <c r="AR374" s="4"/>
      <c r="AS374" s="2">
        <f>O374-AP374</f>
        <v>0</v>
      </c>
      <c r="BC374" s="70">
        <f t="shared" si="155"/>
        <v>0</v>
      </c>
      <c r="BD374" s="70">
        <f t="shared" si="155"/>
        <v>0</v>
      </c>
      <c r="BK374" s="26">
        <f t="shared" si="154"/>
        <v>0</v>
      </c>
      <c r="BL374" s="26">
        <f t="shared" si="154"/>
        <v>0</v>
      </c>
      <c r="BN374" s="29">
        <f>BL374-AP374</f>
        <v>0</v>
      </c>
    </row>
    <row r="375" spans="2:68" ht="14.25">
      <c r="B375" s="60" t="s">
        <v>245</v>
      </c>
      <c r="C375" s="19">
        <v>23682</v>
      </c>
      <c r="D375" s="19">
        <v>0.33187</v>
      </c>
      <c r="E375" s="21"/>
      <c r="F375" s="21"/>
      <c r="G375" s="19"/>
      <c r="H375" s="21">
        <f>ROUND(C375*D375,0)</f>
        <v>7859</v>
      </c>
      <c r="I375" s="19"/>
      <c r="J375" s="19">
        <v>-2150</v>
      </c>
      <c r="K375" s="19"/>
      <c r="L375" s="19"/>
      <c r="M375" s="19"/>
      <c r="N375" s="19"/>
      <c r="O375" s="26">
        <f>SUM(E375:N375)</f>
        <v>5709</v>
      </c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26"/>
      <c r="AP375" s="26">
        <f>R375+T375+V375+X375+Z375+AB375+AD375+AF375+AH375+AJ375+AL375+AN375</f>
        <v>0</v>
      </c>
      <c r="AQ375" s="23"/>
      <c r="AR375" s="23"/>
      <c r="AS375" s="26">
        <f>O375-AP375</f>
        <v>5709</v>
      </c>
      <c r="AT375" s="19"/>
      <c r="AU375" s="19"/>
      <c r="AV375" s="19"/>
      <c r="AW375" s="19"/>
      <c r="AX375" s="19"/>
      <c r="AY375" s="19"/>
      <c r="AZ375" s="19"/>
      <c r="BA375" s="19"/>
      <c r="BB375" s="19"/>
      <c r="BC375" s="70">
        <f t="shared" si="155"/>
        <v>0</v>
      </c>
      <c r="BD375" s="70">
        <f t="shared" si="155"/>
        <v>0</v>
      </c>
      <c r="BE375" s="19"/>
      <c r="BF375" s="19"/>
      <c r="BG375" s="19"/>
      <c r="BH375" s="19"/>
      <c r="BI375" s="19"/>
      <c r="BJ375" s="19"/>
      <c r="BK375" s="26">
        <f t="shared" si="154"/>
        <v>0</v>
      </c>
      <c r="BL375" s="26">
        <f t="shared" si="154"/>
        <v>0</v>
      </c>
      <c r="BM375" s="19"/>
      <c r="BN375" s="29">
        <f>BL375-AP375</f>
        <v>0</v>
      </c>
      <c r="BO375" s="19"/>
      <c r="BP375" s="19"/>
    </row>
    <row r="376" spans="2:66" s="16" customFormat="1" ht="15">
      <c r="B376" s="67" t="s">
        <v>142</v>
      </c>
      <c r="C376" s="16" t="s">
        <v>49</v>
      </c>
      <c r="D376" s="16" t="s">
        <v>88</v>
      </c>
      <c r="E376" s="17">
        <f>SUM(E378:E380)</f>
        <v>0</v>
      </c>
      <c r="F376" s="17">
        <f>SUM(F378:F380)</f>
        <v>0</v>
      </c>
      <c r="G376" s="17">
        <f aca="true" t="shared" si="156" ref="G376:N376">SUM(G378:G380)</f>
        <v>0</v>
      </c>
      <c r="H376" s="17">
        <f t="shared" si="156"/>
        <v>0</v>
      </c>
      <c r="I376" s="17">
        <f t="shared" si="156"/>
        <v>0</v>
      </c>
      <c r="J376" s="17">
        <f t="shared" si="156"/>
        <v>0</v>
      </c>
      <c r="K376" s="17">
        <f t="shared" si="156"/>
        <v>0</v>
      </c>
      <c r="L376" s="17">
        <f t="shared" si="156"/>
        <v>0</v>
      </c>
      <c r="M376" s="17">
        <f t="shared" si="156"/>
        <v>0</v>
      </c>
      <c r="N376" s="17">
        <f t="shared" si="156"/>
        <v>0</v>
      </c>
      <c r="O376" s="17">
        <f>SUM(O378:O380)</f>
        <v>0</v>
      </c>
      <c r="P376" s="19">
        <v>0</v>
      </c>
      <c r="Q376" s="16">
        <f>SUM(Q378:Q380)</f>
        <v>0</v>
      </c>
      <c r="R376" s="16">
        <f aca="true" t="shared" si="157" ref="R376:AP376">SUM(R378:R380)</f>
        <v>0</v>
      </c>
      <c r="S376" s="16">
        <f t="shared" si="157"/>
        <v>0</v>
      </c>
      <c r="T376" s="16">
        <f t="shared" si="157"/>
        <v>0</v>
      </c>
      <c r="U376" s="16">
        <f t="shared" si="157"/>
        <v>0</v>
      </c>
      <c r="V376" s="16">
        <f t="shared" si="157"/>
        <v>0</v>
      </c>
      <c r="W376" s="16">
        <f t="shared" si="157"/>
        <v>0</v>
      </c>
      <c r="X376" s="16">
        <f t="shared" si="157"/>
        <v>0</v>
      </c>
      <c r="Y376" s="16">
        <f t="shared" si="157"/>
        <v>0</v>
      </c>
      <c r="Z376" s="16">
        <f t="shared" si="157"/>
        <v>0</v>
      </c>
      <c r="AA376" s="16">
        <f t="shared" si="157"/>
        <v>0</v>
      </c>
      <c r="AB376" s="16">
        <f t="shared" si="157"/>
        <v>0</v>
      </c>
      <c r="AC376" s="16">
        <f t="shared" si="157"/>
        <v>0</v>
      </c>
      <c r="AD376" s="16">
        <f t="shared" si="157"/>
        <v>0</v>
      </c>
      <c r="AE376" s="16">
        <f t="shared" si="157"/>
        <v>0</v>
      </c>
      <c r="AF376" s="16">
        <f t="shared" si="157"/>
        <v>0</v>
      </c>
      <c r="AG376" s="16">
        <f t="shared" si="157"/>
        <v>0</v>
      </c>
      <c r="AH376" s="16">
        <f t="shared" si="157"/>
        <v>0</v>
      </c>
      <c r="AI376" s="16">
        <f t="shared" si="157"/>
        <v>0</v>
      </c>
      <c r="AJ376" s="16">
        <f t="shared" si="157"/>
        <v>0</v>
      </c>
      <c r="AK376" s="16">
        <f t="shared" si="157"/>
        <v>0</v>
      </c>
      <c r="AL376" s="16">
        <f t="shared" si="157"/>
        <v>0</v>
      </c>
      <c r="AM376" s="16">
        <f t="shared" si="157"/>
        <v>0</v>
      </c>
      <c r="AN376" s="16">
        <f t="shared" si="157"/>
        <v>0</v>
      </c>
      <c r="AO376" s="16">
        <f t="shared" si="157"/>
        <v>0</v>
      </c>
      <c r="AP376" s="16">
        <f t="shared" si="157"/>
        <v>0</v>
      </c>
      <c r="AW376" s="17">
        <f aca="true" t="shared" si="158" ref="AW376:BL376">SUM(AW378:AW380)</f>
        <v>0</v>
      </c>
      <c r="AX376" s="17">
        <f t="shared" si="158"/>
        <v>0</v>
      </c>
      <c r="AY376" s="17">
        <f t="shared" si="158"/>
        <v>0</v>
      </c>
      <c r="AZ376" s="17">
        <f t="shared" si="158"/>
        <v>0</v>
      </c>
      <c r="BA376" s="17">
        <f t="shared" si="158"/>
        <v>0</v>
      </c>
      <c r="BB376" s="17">
        <f t="shared" si="158"/>
        <v>0</v>
      </c>
      <c r="BC376" s="17">
        <f t="shared" si="158"/>
        <v>0</v>
      </c>
      <c r="BD376" s="17">
        <f t="shared" si="158"/>
        <v>0</v>
      </c>
      <c r="BE376" s="17">
        <f t="shared" si="158"/>
        <v>0</v>
      </c>
      <c r="BF376" s="17">
        <f t="shared" si="158"/>
        <v>0</v>
      </c>
      <c r="BG376" s="17">
        <f t="shared" si="158"/>
        <v>0</v>
      </c>
      <c r="BH376" s="17">
        <f t="shared" si="158"/>
        <v>0</v>
      </c>
      <c r="BI376" s="17">
        <f t="shared" si="158"/>
        <v>0</v>
      </c>
      <c r="BJ376" s="17">
        <f t="shared" si="158"/>
        <v>0</v>
      </c>
      <c r="BK376" s="17">
        <f t="shared" si="158"/>
        <v>0</v>
      </c>
      <c r="BL376" s="17">
        <f t="shared" si="158"/>
        <v>0</v>
      </c>
      <c r="BM376" s="17"/>
      <c r="BN376" s="17">
        <f>SUM(BN378:BN380)</f>
        <v>0</v>
      </c>
    </row>
    <row r="377" spans="2:56" s="14" customFormat="1" ht="12.75">
      <c r="B377" s="80"/>
      <c r="P377" s="19">
        <f>P376-O376</f>
        <v>0</v>
      </c>
      <c r="BD377" s="71"/>
    </row>
    <row r="378" spans="2:66" s="4" customFormat="1" ht="14.25">
      <c r="B378" s="64" t="s">
        <v>224</v>
      </c>
      <c r="C378" s="46"/>
      <c r="D378" s="99">
        <v>7.70784</v>
      </c>
      <c r="E378" s="21"/>
      <c r="F378" s="21"/>
      <c r="G378" s="23"/>
      <c r="H378" s="21">
        <f>ROUND(C378*D378,0)</f>
        <v>0</v>
      </c>
      <c r="I378" s="23"/>
      <c r="O378" s="2">
        <f>SUM(E378:N378)</f>
        <v>0</v>
      </c>
      <c r="P378" s="23"/>
      <c r="AO378" s="2">
        <f aca="true" t="shared" si="159" ref="AO378:AP380">Q378+S378+U378+W378+Y378+AA378+AC378+AE378+AG378+AI378+AK378+AM378</f>
        <v>0</v>
      </c>
      <c r="AP378" s="2">
        <f t="shared" si="159"/>
        <v>0</v>
      </c>
      <c r="AS378" s="2">
        <f>O378-AP378</f>
        <v>0</v>
      </c>
      <c r="BC378" s="70">
        <f aca="true" t="shared" si="160" ref="BC378:BD380">AO378</f>
        <v>0</v>
      </c>
      <c r="BD378" s="70">
        <f t="shared" si="160"/>
        <v>0</v>
      </c>
      <c r="BK378" s="26">
        <f aca="true" t="shared" si="161" ref="BK378:BL380">AW378+AY378+BA378+BC378+BE378+BG378+BI378</f>
        <v>0</v>
      </c>
      <c r="BL378" s="26">
        <f t="shared" si="161"/>
        <v>0</v>
      </c>
      <c r="BN378" s="29">
        <f>BL378-AP378</f>
        <v>0</v>
      </c>
    </row>
    <row r="379" spans="2:66" ht="14.25">
      <c r="B379" s="64" t="s">
        <v>225</v>
      </c>
      <c r="C379" s="38"/>
      <c r="D379" s="99">
        <v>7.70784</v>
      </c>
      <c r="E379" s="19"/>
      <c r="F379" s="19"/>
      <c r="G379" s="19"/>
      <c r="H379" s="19"/>
      <c r="I379" s="21">
        <f>ROUND(C379*D379,0)</f>
        <v>0</v>
      </c>
      <c r="O379" s="2">
        <f>SUM(E379:N379)</f>
        <v>0</v>
      </c>
      <c r="AO379" s="2">
        <f t="shared" si="159"/>
        <v>0</v>
      </c>
      <c r="AP379" s="2">
        <f t="shared" si="159"/>
        <v>0</v>
      </c>
      <c r="AQ379" s="4"/>
      <c r="AR379" s="4"/>
      <c r="AS379" s="2">
        <f>O379-AP379</f>
        <v>0</v>
      </c>
      <c r="BC379" s="70">
        <f t="shared" si="160"/>
        <v>0</v>
      </c>
      <c r="BD379" s="70">
        <f t="shared" si="160"/>
        <v>0</v>
      </c>
      <c r="BK379" s="26">
        <f t="shared" si="161"/>
        <v>0</v>
      </c>
      <c r="BL379" s="26">
        <f t="shared" si="161"/>
        <v>0</v>
      </c>
      <c r="BN379" s="29">
        <f>BL379-AP379</f>
        <v>0</v>
      </c>
    </row>
    <row r="380" spans="2:66" ht="15">
      <c r="B380" s="90" t="s">
        <v>277</v>
      </c>
      <c r="C380" s="38"/>
      <c r="D380" s="19">
        <v>1.24752</v>
      </c>
      <c r="E380" s="19"/>
      <c r="F380" s="19"/>
      <c r="G380" s="19"/>
      <c r="H380" s="21"/>
      <c r="I380" s="21">
        <f>ROUND(C380*D380,0)</f>
        <v>0</v>
      </c>
      <c r="O380" s="2">
        <f>SUM(E380:N380)</f>
        <v>0</v>
      </c>
      <c r="AO380" s="2">
        <f t="shared" si="159"/>
        <v>0</v>
      </c>
      <c r="AP380" s="2">
        <f t="shared" si="159"/>
        <v>0</v>
      </c>
      <c r="AS380" s="2">
        <f>O380-AP380</f>
        <v>0</v>
      </c>
      <c r="BC380" s="70">
        <f t="shared" si="160"/>
        <v>0</v>
      </c>
      <c r="BD380" s="70">
        <f t="shared" si="160"/>
        <v>0</v>
      </c>
      <c r="BK380" s="26">
        <f t="shared" si="161"/>
        <v>0</v>
      </c>
      <c r="BL380" s="26">
        <f t="shared" si="161"/>
        <v>0</v>
      </c>
      <c r="BN380" s="29">
        <f>BL380-AP380</f>
        <v>0</v>
      </c>
    </row>
    <row r="381" spans="2:66" s="16" customFormat="1" ht="15">
      <c r="B381" s="67" t="s">
        <v>143</v>
      </c>
      <c r="E381" s="17">
        <f aca="true" t="shared" si="162" ref="E381:M381">SUM(E382:E386)</f>
        <v>0</v>
      </c>
      <c r="F381" s="17">
        <f t="shared" si="162"/>
        <v>0</v>
      </c>
      <c r="G381" s="17">
        <f t="shared" si="162"/>
        <v>0</v>
      </c>
      <c r="H381" s="17">
        <f t="shared" si="162"/>
        <v>2000</v>
      </c>
      <c r="I381" s="17">
        <f t="shared" si="162"/>
        <v>0</v>
      </c>
      <c r="J381" s="17">
        <f t="shared" si="162"/>
        <v>0</v>
      </c>
      <c r="K381" s="17">
        <f t="shared" si="162"/>
        <v>0</v>
      </c>
      <c r="L381" s="17">
        <f t="shared" si="162"/>
        <v>0</v>
      </c>
      <c r="M381" s="17">
        <f t="shared" si="162"/>
        <v>0</v>
      </c>
      <c r="N381" s="17">
        <f>SUM(N382:N386)</f>
        <v>0</v>
      </c>
      <c r="O381" s="16">
        <f>SUM(E381:N381)</f>
        <v>2000</v>
      </c>
      <c r="P381" s="19">
        <v>2000</v>
      </c>
      <c r="Q381" s="17">
        <f aca="true" t="shared" si="163" ref="Q381:AP381">SUM(Q382:Q386)</f>
        <v>0</v>
      </c>
      <c r="R381" s="17">
        <f t="shared" si="163"/>
        <v>0</v>
      </c>
      <c r="S381" s="17">
        <f t="shared" si="163"/>
        <v>0</v>
      </c>
      <c r="T381" s="17">
        <f t="shared" si="163"/>
        <v>0</v>
      </c>
      <c r="U381" s="17">
        <f t="shared" si="163"/>
        <v>0</v>
      </c>
      <c r="V381" s="17">
        <f t="shared" si="163"/>
        <v>0</v>
      </c>
      <c r="W381" s="17">
        <f t="shared" si="163"/>
        <v>0</v>
      </c>
      <c r="X381" s="17">
        <f t="shared" si="163"/>
        <v>0</v>
      </c>
      <c r="Y381" s="17">
        <f t="shared" si="163"/>
        <v>0</v>
      </c>
      <c r="Z381" s="17">
        <f t="shared" si="163"/>
        <v>0</v>
      </c>
      <c r="AA381" s="17">
        <f t="shared" si="163"/>
        <v>0</v>
      </c>
      <c r="AB381" s="17">
        <f t="shared" si="163"/>
        <v>0</v>
      </c>
      <c r="AC381" s="17">
        <f t="shared" si="163"/>
        <v>0</v>
      </c>
      <c r="AD381" s="17">
        <f t="shared" si="163"/>
        <v>0</v>
      </c>
      <c r="AE381" s="17">
        <f t="shared" si="163"/>
        <v>0</v>
      </c>
      <c r="AF381" s="17">
        <f t="shared" si="163"/>
        <v>0</v>
      </c>
      <c r="AG381" s="17">
        <f t="shared" si="163"/>
        <v>0</v>
      </c>
      <c r="AH381" s="17">
        <f t="shared" si="163"/>
        <v>0</v>
      </c>
      <c r="AI381" s="17">
        <f t="shared" si="163"/>
        <v>0</v>
      </c>
      <c r="AJ381" s="17">
        <f t="shared" si="163"/>
        <v>0</v>
      </c>
      <c r="AK381" s="17">
        <f t="shared" si="163"/>
        <v>0</v>
      </c>
      <c r="AL381" s="17">
        <f t="shared" si="163"/>
        <v>0</v>
      </c>
      <c r="AM381" s="17">
        <f t="shared" si="163"/>
        <v>0</v>
      </c>
      <c r="AN381" s="17">
        <f t="shared" si="163"/>
        <v>0</v>
      </c>
      <c r="AO381" s="17">
        <f>SUM(AO382:AO386)</f>
        <v>0</v>
      </c>
      <c r="AP381" s="17">
        <f t="shared" si="163"/>
        <v>0</v>
      </c>
      <c r="AW381" s="17">
        <f aca="true" t="shared" si="164" ref="AW381:BJ381">SUM(AW382:AW386)</f>
        <v>0</v>
      </c>
      <c r="AX381" s="17">
        <f t="shared" si="164"/>
        <v>0</v>
      </c>
      <c r="AY381" s="17">
        <f t="shared" si="164"/>
        <v>0</v>
      </c>
      <c r="AZ381" s="17">
        <f t="shared" si="164"/>
        <v>0</v>
      </c>
      <c r="BA381" s="17">
        <f t="shared" si="164"/>
        <v>0</v>
      </c>
      <c r="BB381" s="17">
        <f t="shared" si="164"/>
        <v>0</v>
      </c>
      <c r="BC381" s="17">
        <f t="shared" si="164"/>
        <v>0</v>
      </c>
      <c r="BD381" s="17">
        <f t="shared" si="164"/>
        <v>0</v>
      </c>
      <c r="BE381" s="17">
        <f t="shared" si="164"/>
        <v>0</v>
      </c>
      <c r="BF381" s="17">
        <f t="shared" si="164"/>
        <v>0</v>
      </c>
      <c r="BG381" s="17">
        <f t="shared" si="164"/>
        <v>0</v>
      </c>
      <c r="BH381" s="17">
        <f t="shared" si="164"/>
        <v>0</v>
      </c>
      <c r="BI381" s="17">
        <f t="shared" si="164"/>
        <v>0</v>
      </c>
      <c r="BJ381" s="17">
        <f t="shared" si="164"/>
        <v>0</v>
      </c>
      <c r="BK381" s="17">
        <f>SUM(BK382:BK386)</f>
        <v>0</v>
      </c>
      <c r="BL381" s="17">
        <f>SUM(BL382:BL386)</f>
        <v>0</v>
      </c>
      <c r="BM381" s="17"/>
      <c r="BN381" s="17">
        <f>SUM(BN382:BN386)</f>
        <v>0</v>
      </c>
    </row>
    <row r="382" spans="2:56" s="14" customFormat="1" ht="12.75">
      <c r="B382" s="80"/>
      <c r="P382" s="19">
        <f>P381-O381</f>
        <v>0</v>
      </c>
      <c r="BD382" s="71"/>
    </row>
    <row r="383" spans="2:66" s="7" customFormat="1" ht="14.25">
      <c r="B383" s="64" t="s">
        <v>91</v>
      </c>
      <c r="C383" s="97"/>
      <c r="D383" s="72">
        <v>2715</v>
      </c>
      <c r="E383" s="21"/>
      <c r="F383" s="21"/>
      <c r="G383" s="21"/>
      <c r="H383" s="21">
        <f>C383*D383</f>
        <v>0</v>
      </c>
      <c r="O383" s="2">
        <f>SUM(E383:N383)</f>
        <v>0</v>
      </c>
      <c r="P383" s="21"/>
      <c r="AO383" s="2">
        <f aca="true" t="shared" si="165" ref="AO383:AP386">Q383+S383+U383+W383+Y383+AA383+AC383+AE383+AG383+AI383+AK383+AM383</f>
        <v>0</v>
      </c>
      <c r="AP383" s="2">
        <f t="shared" si="165"/>
        <v>0</v>
      </c>
      <c r="AQ383" s="4"/>
      <c r="AR383" s="4"/>
      <c r="AS383" s="2">
        <f>O383-AP383</f>
        <v>0</v>
      </c>
      <c r="BC383" s="70">
        <f aca="true" t="shared" si="166" ref="BC383:BD385">AO383</f>
        <v>0</v>
      </c>
      <c r="BD383" s="70">
        <f t="shared" si="166"/>
        <v>0</v>
      </c>
      <c r="BK383" s="26">
        <f aca="true" t="shared" si="167" ref="BK383:BL385">AW383+AY383+BA383+BC383+BE383+BG383+BI383</f>
        <v>0</v>
      </c>
      <c r="BL383" s="26">
        <f t="shared" si="167"/>
        <v>0</v>
      </c>
      <c r="BN383" s="29">
        <f>BL383-AP383</f>
        <v>0</v>
      </c>
    </row>
    <row r="384" spans="2:66" s="7" customFormat="1" ht="14.25">
      <c r="B384" s="61" t="s">
        <v>92</v>
      </c>
      <c r="C384" s="97"/>
      <c r="D384" s="23">
        <v>600</v>
      </c>
      <c r="E384" s="21"/>
      <c r="F384" s="21"/>
      <c r="G384" s="21"/>
      <c r="H384" s="21">
        <f>C384*D384</f>
        <v>0</v>
      </c>
      <c r="O384" s="2">
        <f>SUM(E384:N384)</f>
        <v>0</v>
      </c>
      <c r="P384" s="21"/>
      <c r="AO384" s="2">
        <f t="shared" si="165"/>
        <v>0</v>
      </c>
      <c r="AP384" s="2">
        <f t="shared" si="165"/>
        <v>0</v>
      </c>
      <c r="AQ384" s="4"/>
      <c r="AR384" s="4"/>
      <c r="AS384" s="2">
        <f>O384-AP384</f>
        <v>0</v>
      </c>
      <c r="BC384" s="70">
        <f t="shared" si="166"/>
        <v>0</v>
      </c>
      <c r="BD384" s="70">
        <f t="shared" si="166"/>
        <v>0</v>
      </c>
      <c r="BK384" s="26">
        <f t="shared" si="167"/>
        <v>0</v>
      </c>
      <c r="BL384" s="26">
        <f t="shared" si="167"/>
        <v>0</v>
      </c>
      <c r="BN384" s="29">
        <f>BL384-AP384</f>
        <v>0</v>
      </c>
    </row>
    <row r="385" spans="2:66" s="7" customFormat="1" ht="14.25">
      <c r="B385" s="61" t="s">
        <v>93</v>
      </c>
      <c r="C385" s="4"/>
      <c r="D385" s="23"/>
      <c r="E385" s="21"/>
      <c r="F385" s="21"/>
      <c r="G385" s="21"/>
      <c r="H385" s="21"/>
      <c r="O385" s="2">
        <f>SUM(E385:N385)</f>
        <v>0</v>
      </c>
      <c r="P385" s="21"/>
      <c r="AO385" s="2">
        <f t="shared" si="165"/>
        <v>0</v>
      </c>
      <c r="AP385" s="2">
        <f t="shared" si="165"/>
        <v>0</v>
      </c>
      <c r="AQ385" s="4"/>
      <c r="AR385" s="4"/>
      <c r="AS385" s="2">
        <f>O385-AP385</f>
        <v>0</v>
      </c>
      <c r="BC385" s="70">
        <f t="shared" si="166"/>
        <v>0</v>
      </c>
      <c r="BD385" s="70">
        <f t="shared" si="166"/>
        <v>0</v>
      </c>
      <c r="BK385" s="26">
        <f t="shared" si="167"/>
        <v>0</v>
      </c>
      <c r="BL385" s="26">
        <f t="shared" si="167"/>
        <v>0</v>
      </c>
      <c r="BN385" s="29">
        <f>BL385-AP385</f>
        <v>0</v>
      </c>
    </row>
    <row r="386" spans="2:66" ht="14.25">
      <c r="B386" s="61" t="s">
        <v>104</v>
      </c>
      <c r="H386">
        <v>2000</v>
      </c>
      <c r="AO386" s="2">
        <f t="shared" si="165"/>
        <v>0</v>
      </c>
      <c r="AP386" s="2">
        <f t="shared" si="165"/>
        <v>0</v>
      </c>
      <c r="AQ386" s="4"/>
      <c r="AR386" s="4"/>
      <c r="AS386" s="2">
        <f>O386-AP386</f>
        <v>0</v>
      </c>
      <c r="BC386" s="70">
        <f>AO386</f>
        <v>0</v>
      </c>
      <c r="BD386" s="70">
        <f>AP386</f>
        <v>0</v>
      </c>
      <c r="BK386" s="26">
        <f>AW386+AY386+BA386+BC386+BE386+BG386+BI386</f>
        <v>0</v>
      </c>
      <c r="BL386" s="26">
        <f>AX386+AZ386+BB386+BD386+BF386+BH386+BJ386</f>
        <v>0</v>
      </c>
      <c r="BN386" s="29">
        <f>BL386-AP386</f>
        <v>0</v>
      </c>
    </row>
    <row r="388" spans="2:66" s="16" customFormat="1" ht="15">
      <c r="B388" s="67" t="s">
        <v>174</v>
      </c>
      <c r="C388" s="16" t="s">
        <v>3</v>
      </c>
      <c r="D388" s="16" t="s">
        <v>4</v>
      </c>
      <c r="E388" s="17">
        <f>E390</f>
        <v>0</v>
      </c>
      <c r="F388" s="17">
        <f>F390</f>
        <v>0</v>
      </c>
      <c r="G388" s="17">
        <f>G390</f>
        <v>0</v>
      </c>
      <c r="H388" s="17">
        <f>H390</f>
        <v>1200</v>
      </c>
      <c r="I388" s="17">
        <f aca="true" t="shared" si="168" ref="I388:N388">I390</f>
        <v>0</v>
      </c>
      <c r="J388" s="17">
        <f t="shared" si="168"/>
        <v>0</v>
      </c>
      <c r="K388" s="17">
        <f t="shared" si="168"/>
        <v>0</v>
      </c>
      <c r="L388" s="17">
        <f>L390</f>
        <v>0</v>
      </c>
      <c r="M388" s="17">
        <f t="shared" si="168"/>
        <v>0</v>
      </c>
      <c r="N388" s="17">
        <f t="shared" si="168"/>
        <v>0</v>
      </c>
      <c r="O388" s="16">
        <f>SUM(E388:N388)</f>
        <v>1200</v>
      </c>
      <c r="P388" s="19">
        <v>1200</v>
      </c>
      <c r="Q388" s="17">
        <f aca="true" t="shared" si="169" ref="Q388:AP388">Q390</f>
        <v>0</v>
      </c>
      <c r="R388" s="17">
        <f t="shared" si="169"/>
        <v>0</v>
      </c>
      <c r="S388" s="17">
        <f t="shared" si="169"/>
        <v>0</v>
      </c>
      <c r="T388" s="17">
        <f t="shared" si="169"/>
        <v>0</v>
      </c>
      <c r="U388" s="17">
        <f t="shared" si="169"/>
        <v>0</v>
      </c>
      <c r="V388" s="17">
        <f t="shared" si="169"/>
        <v>0</v>
      </c>
      <c r="W388" s="17">
        <f t="shared" si="169"/>
        <v>0</v>
      </c>
      <c r="X388" s="17">
        <f t="shared" si="169"/>
        <v>0</v>
      </c>
      <c r="Y388" s="17">
        <f t="shared" si="169"/>
        <v>0</v>
      </c>
      <c r="Z388" s="17">
        <f t="shared" si="169"/>
        <v>0</v>
      </c>
      <c r="AA388" s="17">
        <f t="shared" si="169"/>
        <v>0</v>
      </c>
      <c r="AB388" s="17">
        <f t="shared" si="169"/>
        <v>0</v>
      </c>
      <c r="AC388" s="17">
        <f t="shared" si="169"/>
        <v>0</v>
      </c>
      <c r="AD388" s="17">
        <f t="shared" si="169"/>
        <v>0</v>
      </c>
      <c r="AE388" s="17">
        <f t="shared" si="169"/>
        <v>0</v>
      </c>
      <c r="AF388" s="17">
        <f t="shared" si="169"/>
        <v>0</v>
      </c>
      <c r="AG388" s="17">
        <f t="shared" si="169"/>
        <v>0</v>
      </c>
      <c r="AH388" s="17">
        <f t="shared" si="169"/>
        <v>0</v>
      </c>
      <c r="AI388" s="17">
        <f t="shared" si="169"/>
        <v>0</v>
      </c>
      <c r="AJ388" s="17">
        <f t="shared" si="169"/>
        <v>0</v>
      </c>
      <c r="AK388" s="17">
        <f t="shared" si="169"/>
        <v>0</v>
      </c>
      <c r="AL388" s="17">
        <f t="shared" si="169"/>
        <v>0</v>
      </c>
      <c r="AM388" s="17">
        <f t="shared" si="169"/>
        <v>0</v>
      </c>
      <c r="AN388" s="17">
        <f t="shared" si="169"/>
        <v>0</v>
      </c>
      <c r="AO388" s="17">
        <f t="shared" si="169"/>
        <v>0</v>
      </c>
      <c r="AP388" s="17">
        <f t="shared" si="169"/>
        <v>0</v>
      </c>
      <c r="AW388" s="17">
        <f aca="true" t="shared" si="170" ref="AW388:BL388">AW390</f>
        <v>0</v>
      </c>
      <c r="AX388" s="17">
        <f t="shared" si="170"/>
        <v>0</v>
      </c>
      <c r="AY388" s="17">
        <f t="shared" si="170"/>
        <v>0</v>
      </c>
      <c r="AZ388" s="17">
        <f t="shared" si="170"/>
        <v>0</v>
      </c>
      <c r="BA388" s="17">
        <f t="shared" si="170"/>
        <v>0</v>
      </c>
      <c r="BB388" s="17">
        <f t="shared" si="170"/>
        <v>0</v>
      </c>
      <c r="BC388" s="17">
        <f t="shared" si="170"/>
        <v>0</v>
      </c>
      <c r="BD388" s="17">
        <f t="shared" si="170"/>
        <v>0</v>
      </c>
      <c r="BE388" s="17">
        <f t="shared" si="170"/>
        <v>0</v>
      </c>
      <c r="BF388" s="17">
        <f t="shared" si="170"/>
        <v>0</v>
      </c>
      <c r="BG388" s="17">
        <f t="shared" si="170"/>
        <v>0</v>
      </c>
      <c r="BH388" s="17">
        <f t="shared" si="170"/>
        <v>0</v>
      </c>
      <c r="BI388" s="17">
        <f t="shared" si="170"/>
        <v>0</v>
      </c>
      <c r="BJ388" s="17">
        <f t="shared" si="170"/>
        <v>0</v>
      </c>
      <c r="BK388" s="17">
        <f t="shared" si="170"/>
        <v>0</v>
      </c>
      <c r="BL388" s="17">
        <f t="shared" si="170"/>
        <v>0</v>
      </c>
      <c r="BM388" s="17"/>
      <c r="BN388" s="17">
        <f>BN390</f>
        <v>0</v>
      </c>
    </row>
    <row r="389" spans="2:56" s="14" customFormat="1" ht="12.75">
      <c r="B389" s="80"/>
      <c r="P389" s="19">
        <f>P388-O388</f>
        <v>0</v>
      </c>
      <c r="BD389" s="71"/>
    </row>
    <row r="390" spans="2:66" s="4" customFormat="1" ht="14.25">
      <c r="B390" s="64" t="s">
        <v>94</v>
      </c>
      <c r="C390" s="97">
        <v>2</v>
      </c>
      <c r="D390" s="15">
        <v>600</v>
      </c>
      <c r="E390" s="7"/>
      <c r="F390" s="7"/>
      <c r="H390" s="4">
        <f>C390*D390</f>
        <v>1200</v>
      </c>
      <c r="O390" s="2">
        <f>SUM(E390:N390)</f>
        <v>1200</v>
      </c>
      <c r="P390" s="19"/>
      <c r="AO390" s="2">
        <f>Q390+S390+U390+W390+Y390+AA390+AC390+AE390+AG390+AI390+AK390+AM390</f>
        <v>0</v>
      </c>
      <c r="AP390" s="2">
        <f>R390+T390+V390+X390+Z390+AB390+AD390+AF390+AH390+AJ390+AL390+AN390</f>
        <v>0</v>
      </c>
      <c r="AS390" s="2">
        <f>O390-AP390</f>
        <v>1200</v>
      </c>
      <c r="BC390" s="70">
        <f>AO390</f>
        <v>0</v>
      </c>
      <c r="BD390" s="70">
        <f>AP390</f>
        <v>0</v>
      </c>
      <c r="BK390" s="26">
        <f>AW390+AY390+BA390+BC390+BE390+BG390+BI390</f>
        <v>0</v>
      </c>
      <c r="BL390" s="26">
        <f>AX390+AZ390+BB390+BD390+BF390+BH390+BJ390</f>
        <v>0</v>
      </c>
      <c r="BN390" s="29">
        <f>BL390-AP390</f>
        <v>0</v>
      </c>
    </row>
    <row r="393" spans="2:66" s="16" customFormat="1" ht="15">
      <c r="B393" s="67" t="s">
        <v>147</v>
      </c>
      <c r="E393" s="17">
        <f>SUM(E394:E420)</f>
        <v>0</v>
      </c>
      <c r="F393" s="17">
        <f>SUM(F394:F420)</f>
        <v>0</v>
      </c>
      <c r="G393" s="17">
        <f>SUM(G394:G420)</f>
        <v>0</v>
      </c>
      <c r="H393" s="17">
        <f>SUM(H394:H420)</f>
        <v>0</v>
      </c>
      <c r="I393" s="17">
        <f aca="true" t="shared" si="171" ref="I393:N393">SUM(I394:I420)</f>
        <v>0</v>
      </c>
      <c r="J393" s="17">
        <f t="shared" si="171"/>
        <v>0</v>
      </c>
      <c r="K393" s="17">
        <f t="shared" si="171"/>
        <v>206700</v>
      </c>
      <c r="L393" s="17">
        <f t="shared" si="171"/>
        <v>0</v>
      </c>
      <c r="M393" s="17">
        <f t="shared" si="171"/>
        <v>0</v>
      </c>
      <c r="N393" s="17">
        <f t="shared" si="171"/>
        <v>0</v>
      </c>
      <c r="O393" s="16">
        <f>SUM(E393:N393)</f>
        <v>206700</v>
      </c>
      <c r="P393" s="19">
        <v>11548</v>
      </c>
      <c r="Q393" s="17">
        <f>SUM(Q394:Q420)</f>
        <v>0</v>
      </c>
      <c r="R393" s="17">
        <f aca="true" t="shared" si="172" ref="R393:AP393">SUM(R394:R420)</f>
        <v>0</v>
      </c>
      <c r="S393" s="17">
        <f t="shared" si="172"/>
        <v>0</v>
      </c>
      <c r="T393" s="17">
        <f t="shared" si="172"/>
        <v>0</v>
      </c>
      <c r="U393" s="17">
        <f t="shared" si="172"/>
        <v>0</v>
      </c>
      <c r="V393" s="17">
        <f t="shared" si="172"/>
        <v>0</v>
      </c>
      <c r="W393" s="17">
        <f t="shared" si="172"/>
        <v>0</v>
      </c>
      <c r="X393" s="17">
        <f t="shared" si="172"/>
        <v>0</v>
      </c>
      <c r="Y393" s="17">
        <f t="shared" si="172"/>
        <v>0</v>
      </c>
      <c r="Z393" s="17">
        <f t="shared" si="172"/>
        <v>0</v>
      </c>
      <c r="AA393" s="17">
        <f t="shared" si="172"/>
        <v>2</v>
      </c>
      <c r="AB393" s="17">
        <f t="shared" si="172"/>
        <v>206700</v>
      </c>
      <c r="AC393" s="17">
        <f t="shared" si="172"/>
        <v>0</v>
      </c>
      <c r="AD393" s="17">
        <f t="shared" si="172"/>
        <v>0</v>
      </c>
      <c r="AE393" s="17">
        <f t="shared" si="172"/>
        <v>0</v>
      </c>
      <c r="AF393" s="17">
        <f t="shared" si="172"/>
        <v>0</v>
      </c>
      <c r="AG393" s="17">
        <f t="shared" si="172"/>
        <v>0</v>
      </c>
      <c r="AH393" s="17">
        <f t="shared" si="172"/>
        <v>0</v>
      </c>
      <c r="AI393" s="17">
        <f t="shared" si="172"/>
        <v>0</v>
      </c>
      <c r="AJ393" s="17">
        <f t="shared" si="172"/>
        <v>0</v>
      </c>
      <c r="AK393" s="17">
        <f t="shared" si="172"/>
        <v>0</v>
      </c>
      <c r="AL393" s="17">
        <f t="shared" si="172"/>
        <v>0</v>
      </c>
      <c r="AM393" s="17">
        <f t="shared" si="172"/>
        <v>0</v>
      </c>
      <c r="AN393" s="17">
        <f t="shared" si="172"/>
        <v>0</v>
      </c>
      <c r="AO393" s="17">
        <f t="shared" si="172"/>
        <v>2</v>
      </c>
      <c r="AP393" s="17">
        <f t="shared" si="172"/>
        <v>206700</v>
      </c>
      <c r="AS393" s="17">
        <f>SUM(AS394:AS420)</f>
        <v>0</v>
      </c>
      <c r="AW393" s="17">
        <f aca="true" t="shared" si="173" ref="AW393:BL393">SUM(AW394:AW420)</f>
        <v>0</v>
      </c>
      <c r="AX393" s="17">
        <f t="shared" si="173"/>
        <v>0</v>
      </c>
      <c r="AY393" s="17">
        <f t="shared" si="173"/>
        <v>0</v>
      </c>
      <c r="AZ393" s="17">
        <f t="shared" si="173"/>
        <v>0</v>
      </c>
      <c r="BA393" s="17">
        <f t="shared" si="173"/>
        <v>0</v>
      </c>
      <c r="BB393" s="17">
        <f t="shared" si="173"/>
        <v>0</v>
      </c>
      <c r="BC393" s="17">
        <f t="shared" si="173"/>
        <v>0</v>
      </c>
      <c r="BD393" s="17">
        <f t="shared" si="173"/>
        <v>0</v>
      </c>
      <c r="BE393" s="17">
        <f t="shared" si="173"/>
        <v>2</v>
      </c>
      <c r="BF393" s="17">
        <f t="shared" si="173"/>
        <v>206700</v>
      </c>
      <c r="BG393" s="17">
        <f t="shared" si="173"/>
        <v>0</v>
      </c>
      <c r="BH393" s="17">
        <f t="shared" si="173"/>
        <v>0</v>
      </c>
      <c r="BI393" s="17">
        <f t="shared" si="173"/>
        <v>0</v>
      </c>
      <c r="BJ393" s="17">
        <f t="shared" si="173"/>
        <v>0</v>
      </c>
      <c r="BK393" s="17">
        <f t="shared" si="173"/>
        <v>2</v>
      </c>
      <c r="BL393" s="17">
        <f t="shared" si="173"/>
        <v>206700</v>
      </c>
      <c r="BM393" s="17"/>
      <c r="BN393" s="17">
        <f>SUM(BN394:BN420)</f>
        <v>0</v>
      </c>
    </row>
    <row r="394" spans="2:66" s="14" customFormat="1" ht="15">
      <c r="B394" s="79" t="s">
        <v>242</v>
      </c>
      <c r="E394" s="7"/>
      <c r="F394" s="7"/>
      <c r="G394" s="7"/>
      <c r="H394" s="7"/>
      <c r="O394" s="2">
        <f aca="true" t="shared" si="174" ref="O394:O420">SUM(E394:N394)</f>
        <v>0</v>
      </c>
      <c r="P394" s="19">
        <f>P393-O393</f>
        <v>-195152</v>
      </c>
      <c r="AO394" s="2">
        <f aca="true" t="shared" si="175" ref="AO394:AP416">Q394+S394+U394+W394+Y394+AA394+AC394+AE394+AG394+AI394+AK394+AM394</f>
        <v>0</v>
      </c>
      <c r="AP394" s="2">
        <f t="shared" si="175"/>
        <v>0</v>
      </c>
      <c r="AS394" s="2">
        <f>O394-AP394</f>
        <v>0</v>
      </c>
      <c r="AX394" s="29">
        <f>AP394</f>
        <v>0</v>
      </c>
      <c r="AY394" s="29"/>
      <c r="AZ394" s="29"/>
      <c r="BD394" s="71"/>
      <c r="BK394" s="26">
        <f aca="true" t="shared" si="176" ref="BK394:BL420">AW394+AY394+BA394+BC394+BE394+BG394+BI394</f>
        <v>0</v>
      </c>
      <c r="BL394" s="26">
        <f t="shared" si="176"/>
        <v>0</v>
      </c>
      <c r="BN394" s="29">
        <f aca="true" t="shared" si="177" ref="BN394:BN458">BL394-AP394</f>
        <v>0</v>
      </c>
    </row>
    <row r="395" spans="2:66" s="4" customFormat="1" ht="14.25">
      <c r="B395" s="64" t="s">
        <v>352</v>
      </c>
      <c r="C395" s="13"/>
      <c r="D395" s="15"/>
      <c r="E395" s="7"/>
      <c r="F395" s="7"/>
      <c r="G395" s="7"/>
      <c r="H395" s="7"/>
      <c r="O395" s="2">
        <f t="shared" si="174"/>
        <v>0</v>
      </c>
      <c r="P395" s="23"/>
      <c r="AO395" s="2">
        <f t="shared" si="175"/>
        <v>0</v>
      </c>
      <c r="AP395" s="2">
        <f t="shared" si="175"/>
        <v>0</v>
      </c>
      <c r="AS395" s="2">
        <f aca="true" t="shared" si="178" ref="AS395:AS420">O395-AP395</f>
        <v>0</v>
      </c>
      <c r="AX395" s="29">
        <f>AP395</f>
        <v>0</v>
      </c>
      <c r="AY395" s="29"/>
      <c r="AZ395" s="29"/>
      <c r="BD395" s="71"/>
      <c r="BK395" s="26">
        <f t="shared" si="176"/>
        <v>0</v>
      </c>
      <c r="BL395" s="26">
        <f t="shared" si="176"/>
        <v>0</v>
      </c>
      <c r="BN395" s="29">
        <f t="shared" si="177"/>
        <v>0</v>
      </c>
    </row>
    <row r="396" spans="2:68" s="7" customFormat="1" ht="42.75">
      <c r="B396" s="68" t="s">
        <v>432</v>
      </c>
      <c r="C396" s="23"/>
      <c r="D396" s="23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6">
        <f t="shared" si="174"/>
        <v>0</v>
      </c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6">
        <f t="shared" si="175"/>
        <v>0</v>
      </c>
      <c r="AP396" s="26">
        <f t="shared" si="175"/>
        <v>0</v>
      </c>
      <c r="AQ396" s="21"/>
      <c r="AR396" s="21"/>
      <c r="AS396" s="26">
        <f t="shared" si="178"/>
        <v>0</v>
      </c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4"/>
      <c r="BE396" s="21">
        <f>AO396</f>
        <v>0</v>
      </c>
      <c r="BF396" s="21">
        <f>AP396</f>
        <v>0</v>
      </c>
      <c r="BG396" s="21"/>
      <c r="BH396" s="21"/>
      <c r="BI396" s="21"/>
      <c r="BJ396" s="21"/>
      <c r="BK396" s="26">
        <f t="shared" si="176"/>
        <v>0</v>
      </c>
      <c r="BL396" s="26">
        <f t="shared" si="176"/>
        <v>0</v>
      </c>
      <c r="BM396" s="21"/>
      <c r="BN396" s="29">
        <f t="shared" si="177"/>
        <v>0</v>
      </c>
      <c r="BO396" s="21"/>
      <c r="BP396" s="21"/>
    </row>
    <row r="397" spans="2:68" s="7" customFormat="1" ht="42.75">
      <c r="B397" s="68" t="s">
        <v>431</v>
      </c>
      <c r="C397" s="23"/>
      <c r="D397" s="23"/>
      <c r="E397" s="21"/>
      <c r="F397" s="21"/>
      <c r="G397" s="21"/>
      <c r="H397" s="21"/>
      <c r="I397" s="21"/>
      <c r="J397" s="21"/>
      <c r="K397" s="21">
        <f>125200-5835</f>
        <v>119365</v>
      </c>
      <c r="L397" s="21"/>
      <c r="M397" s="21"/>
      <c r="N397" s="21"/>
      <c r="O397" s="26">
        <f t="shared" si="174"/>
        <v>119365</v>
      </c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>
        <v>1</v>
      </c>
      <c r="AB397" s="21">
        <v>119365</v>
      </c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6">
        <f t="shared" si="175"/>
        <v>1</v>
      </c>
      <c r="AP397" s="26">
        <f t="shared" si="175"/>
        <v>119365</v>
      </c>
      <c r="AQ397" s="21"/>
      <c r="AR397" s="21"/>
      <c r="AS397" s="26">
        <f t="shared" si="178"/>
        <v>0</v>
      </c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4"/>
      <c r="BE397" s="21">
        <f aca="true" t="shared" si="179" ref="BE397:BF400">AO397</f>
        <v>1</v>
      </c>
      <c r="BF397" s="21">
        <f t="shared" si="179"/>
        <v>119365</v>
      </c>
      <c r="BG397" s="21"/>
      <c r="BH397" s="21"/>
      <c r="BI397" s="21"/>
      <c r="BJ397" s="21"/>
      <c r="BK397" s="26">
        <f t="shared" si="176"/>
        <v>1</v>
      </c>
      <c r="BL397" s="26">
        <f t="shared" si="176"/>
        <v>119365</v>
      </c>
      <c r="BM397" s="21"/>
      <c r="BN397" s="29">
        <f t="shared" si="177"/>
        <v>0</v>
      </c>
      <c r="BO397" s="21"/>
      <c r="BP397" s="21"/>
    </row>
    <row r="398" spans="2:68" s="7" customFormat="1" ht="28.5">
      <c r="B398" s="68" t="s">
        <v>430</v>
      </c>
      <c r="C398" s="23"/>
      <c r="D398" s="23"/>
      <c r="E398" s="21"/>
      <c r="F398" s="21"/>
      <c r="G398" s="21"/>
      <c r="H398" s="21"/>
      <c r="I398" s="21"/>
      <c r="J398" s="21"/>
      <c r="K398" s="82"/>
      <c r="L398" s="82"/>
      <c r="M398" s="21"/>
      <c r="N398" s="21"/>
      <c r="O398" s="26">
        <f t="shared" si="174"/>
        <v>0</v>
      </c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6">
        <f t="shared" si="175"/>
        <v>0</v>
      </c>
      <c r="AP398" s="26">
        <f t="shared" si="175"/>
        <v>0</v>
      </c>
      <c r="AQ398" s="21"/>
      <c r="AR398" s="21"/>
      <c r="AS398" s="26">
        <f t="shared" si="178"/>
        <v>0</v>
      </c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4"/>
      <c r="BE398" s="21">
        <f t="shared" si="179"/>
        <v>0</v>
      </c>
      <c r="BF398" s="21">
        <f t="shared" si="179"/>
        <v>0</v>
      </c>
      <c r="BG398" s="21"/>
      <c r="BH398" s="21"/>
      <c r="BI398" s="21"/>
      <c r="BJ398" s="21"/>
      <c r="BK398" s="26">
        <f t="shared" si="176"/>
        <v>0</v>
      </c>
      <c r="BL398" s="26">
        <f t="shared" si="176"/>
        <v>0</v>
      </c>
      <c r="BM398" s="21"/>
      <c r="BN398" s="29">
        <f t="shared" si="177"/>
        <v>0</v>
      </c>
      <c r="BO398" s="21"/>
      <c r="BP398" s="21"/>
    </row>
    <row r="399" spans="2:66" s="7" customFormat="1" ht="42.75">
      <c r="B399" s="68" t="s">
        <v>429</v>
      </c>
      <c r="C399" s="4"/>
      <c r="D399" s="4"/>
      <c r="K399" s="3">
        <f>112000-19800-4865</f>
        <v>87335</v>
      </c>
      <c r="L399" s="3"/>
      <c r="M399" s="3"/>
      <c r="O399" s="2">
        <f t="shared" si="174"/>
        <v>87335</v>
      </c>
      <c r="P399" s="21"/>
      <c r="AA399" s="7">
        <v>1</v>
      </c>
      <c r="AB399" s="7">
        <v>87335</v>
      </c>
      <c r="AO399" s="2">
        <f t="shared" si="175"/>
        <v>1</v>
      </c>
      <c r="AP399" s="2">
        <f t="shared" si="175"/>
        <v>87335</v>
      </c>
      <c r="AS399" s="2">
        <f t="shared" si="178"/>
        <v>0</v>
      </c>
      <c r="BD399" s="8"/>
      <c r="BE399" s="21">
        <f t="shared" si="179"/>
        <v>1</v>
      </c>
      <c r="BF399" s="21">
        <f t="shared" si="179"/>
        <v>87335</v>
      </c>
      <c r="BK399" s="26">
        <f t="shared" si="176"/>
        <v>1</v>
      </c>
      <c r="BL399" s="26">
        <f t="shared" si="176"/>
        <v>87335</v>
      </c>
      <c r="BN399" s="29">
        <f t="shared" si="177"/>
        <v>0</v>
      </c>
    </row>
    <row r="400" spans="2:66" s="7" customFormat="1" ht="42.75">
      <c r="B400" s="68" t="s">
        <v>428</v>
      </c>
      <c r="C400" s="4"/>
      <c r="D400" s="4"/>
      <c r="K400" s="3"/>
      <c r="L400" s="3"/>
      <c r="M400" s="3"/>
      <c r="O400" s="2">
        <f t="shared" si="174"/>
        <v>0</v>
      </c>
      <c r="P400" s="21"/>
      <c r="AO400" s="2">
        <f t="shared" si="175"/>
        <v>0</v>
      </c>
      <c r="AP400" s="2">
        <f t="shared" si="175"/>
        <v>0</v>
      </c>
      <c r="AS400" s="2">
        <f t="shared" si="178"/>
        <v>0</v>
      </c>
      <c r="BD400" s="8"/>
      <c r="BE400" s="21">
        <f t="shared" si="179"/>
        <v>0</v>
      </c>
      <c r="BF400" s="21">
        <f t="shared" si="179"/>
        <v>0</v>
      </c>
      <c r="BK400" s="26">
        <f t="shared" si="176"/>
        <v>0</v>
      </c>
      <c r="BL400" s="26">
        <f t="shared" si="176"/>
        <v>0</v>
      </c>
      <c r="BN400" s="29">
        <f t="shared" si="177"/>
        <v>0</v>
      </c>
    </row>
    <row r="401" spans="2:66" s="7" customFormat="1" ht="28.5">
      <c r="B401" s="68" t="s">
        <v>427</v>
      </c>
      <c r="C401" s="4"/>
      <c r="D401" s="4"/>
      <c r="K401" s="3"/>
      <c r="L401" s="3"/>
      <c r="M401" s="3"/>
      <c r="O401" s="2">
        <f t="shared" si="174"/>
        <v>0</v>
      </c>
      <c r="P401" s="21"/>
      <c r="AO401" s="2">
        <f t="shared" si="175"/>
        <v>0</v>
      </c>
      <c r="AP401" s="2">
        <f t="shared" si="175"/>
        <v>0</v>
      </c>
      <c r="AS401" s="2">
        <f>O401-AP401</f>
        <v>0</v>
      </c>
      <c r="BD401" s="8"/>
      <c r="BK401" s="26">
        <f t="shared" si="176"/>
        <v>0</v>
      </c>
      <c r="BL401" s="26">
        <f t="shared" si="176"/>
        <v>0</v>
      </c>
      <c r="BN401" s="29">
        <f t="shared" si="177"/>
        <v>0</v>
      </c>
    </row>
    <row r="402" spans="2:66" s="7" customFormat="1" ht="28.5">
      <c r="B402" s="68" t="s">
        <v>426</v>
      </c>
      <c r="C402" s="4"/>
      <c r="D402" s="4"/>
      <c r="K402" s="3"/>
      <c r="L402" s="3"/>
      <c r="M402" s="3"/>
      <c r="O402" s="2">
        <f t="shared" si="174"/>
        <v>0</v>
      </c>
      <c r="P402" s="21"/>
      <c r="AO402" s="2">
        <f t="shared" si="175"/>
        <v>0</v>
      </c>
      <c r="AP402" s="2">
        <f t="shared" si="175"/>
        <v>0</v>
      </c>
      <c r="AS402" s="2">
        <f>O402-AP402</f>
        <v>0</v>
      </c>
      <c r="BD402" s="8"/>
      <c r="BK402" s="26">
        <f t="shared" si="176"/>
        <v>0</v>
      </c>
      <c r="BL402" s="26">
        <f t="shared" si="176"/>
        <v>0</v>
      </c>
      <c r="BN402" s="29">
        <f t="shared" si="177"/>
        <v>0</v>
      </c>
    </row>
    <row r="403" spans="2:66" s="7" customFormat="1" ht="14.25">
      <c r="B403" s="68" t="s">
        <v>396</v>
      </c>
      <c r="C403" s="4"/>
      <c r="D403" s="4"/>
      <c r="K403" s="3"/>
      <c r="L403" s="3"/>
      <c r="M403" s="3"/>
      <c r="O403" s="2">
        <f t="shared" si="174"/>
        <v>0</v>
      </c>
      <c r="P403" s="21"/>
      <c r="AO403" s="2">
        <f t="shared" si="175"/>
        <v>0</v>
      </c>
      <c r="AP403" s="2">
        <f t="shared" si="175"/>
        <v>0</v>
      </c>
      <c r="AS403" s="2">
        <f t="shared" si="178"/>
        <v>0</v>
      </c>
      <c r="BD403" s="8"/>
      <c r="BK403" s="26">
        <f t="shared" si="176"/>
        <v>0</v>
      </c>
      <c r="BL403" s="26">
        <f t="shared" si="176"/>
        <v>0</v>
      </c>
      <c r="BN403" s="29">
        <f t="shared" si="177"/>
        <v>0</v>
      </c>
    </row>
    <row r="404" spans="2:66" s="7" customFormat="1" ht="30">
      <c r="B404" s="79" t="s">
        <v>433</v>
      </c>
      <c r="C404" s="4"/>
      <c r="D404" s="4"/>
      <c r="K404" s="3">
        <f>15895+14075-29970</f>
        <v>0</v>
      </c>
      <c r="L404" s="3"/>
      <c r="M404" s="3"/>
      <c r="O404" s="2">
        <f t="shared" si="174"/>
        <v>0</v>
      </c>
      <c r="P404" s="21"/>
      <c r="AO404" s="2">
        <f t="shared" si="175"/>
        <v>0</v>
      </c>
      <c r="AP404" s="2">
        <f t="shared" si="175"/>
        <v>0</v>
      </c>
      <c r="AS404" s="2">
        <f t="shared" si="178"/>
        <v>0</v>
      </c>
      <c r="AY404" s="7">
        <f>AO404</f>
        <v>0</v>
      </c>
      <c r="AZ404" s="7">
        <f>AP404</f>
        <v>0</v>
      </c>
      <c r="BD404" s="8"/>
      <c r="BK404" s="26">
        <f t="shared" si="176"/>
        <v>0</v>
      </c>
      <c r="BL404" s="26">
        <f t="shared" si="176"/>
        <v>0</v>
      </c>
      <c r="BN404" s="29">
        <f t="shared" si="177"/>
        <v>0</v>
      </c>
    </row>
    <row r="405" spans="2:66" ht="14.25">
      <c r="B405" s="64"/>
      <c r="C405" s="4"/>
      <c r="O405" s="2">
        <f t="shared" si="174"/>
        <v>0</v>
      </c>
      <c r="AO405" s="2">
        <f t="shared" si="175"/>
        <v>0</v>
      </c>
      <c r="AP405" s="2">
        <f t="shared" si="175"/>
        <v>0</v>
      </c>
      <c r="AS405" s="2">
        <f t="shared" si="178"/>
        <v>0</v>
      </c>
      <c r="AY405" s="7">
        <f>AO405</f>
        <v>0</v>
      </c>
      <c r="AZ405" s="7">
        <f>AP405</f>
        <v>0</v>
      </c>
      <c r="BK405" s="26">
        <f t="shared" si="176"/>
        <v>0</v>
      </c>
      <c r="BL405" s="26">
        <f t="shared" si="176"/>
        <v>0</v>
      </c>
      <c r="BN405" s="29">
        <f t="shared" si="177"/>
        <v>0</v>
      </c>
    </row>
    <row r="406" spans="2:66" ht="14.25">
      <c r="B406" s="61"/>
      <c r="C406" s="4"/>
      <c r="O406" s="2">
        <f t="shared" si="174"/>
        <v>0</v>
      </c>
      <c r="AO406" s="2">
        <f t="shared" si="175"/>
        <v>0</v>
      </c>
      <c r="AP406" s="2">
        <f t="shared" si="175"/>
        <v>0</v>
      </c>
      <c r="AS406" s="2">
        <f t="shared" si="178"/>
        <v>0</v>
      </c>
      <c r="BK406" s="26">
        <f t="shared" si="176"/>
        <v>0</v>
      </c>
      <c r="BL406" s="26">
        <f t="shared" si="176"/>
        <v>0</v>
      </c>
      <c r="BN406" s="29">
        <f t="shared" si="177"/>
        <v>0</v>
      </c>
    </row>
    <row r="407" spans="2:66" ht="14.25">
      <c r="B407" s="61"/>
      <c r="O407" s="2">
        <f t="shared" si="174"/>
        <v>0</v>
      </c>
      <c r="AO407" s="2">
        <f t="shared" si="175"/>
        <v>0</v>
      </c>
      <c r="AP407" s="2">
        <f t="shared" si="175"/>
        <v>0</v>
      </c>
      <c r="AS407" s="2">
        <f t="shared" si="178"/>
        <v>0</v>
      </c>
      <c r="BK407" s="26">
        <f t="shared" si="176"/>
        <v>0</v>
      </c>
      <c r="BL407" s="26">
        <f t="shared" si="176"/>
        <v>0</v>
      </c>
      <c r="BN407" s="29">
        <f t="shared" si="177"/>
        <v>0</v>
      </c>
    </row>
    <row r="408" spans="2:66" ht="14.25">
      <c r="B408" s="61"/>
      <c r="O408" s="2">
        <f t="shared" si="174"/>
        <v>0</v>
      </c>
      <c r="AO408" s="2">
        <f t="shared" si="175"/>
        <v>0</v>
      </c>
      <c r="AP408" s="2">
        <f t="shared" si="175"/>
        <v>0</v>
      </c>
      <c r="AS408" s="2">
        <f t="shared" si="178"/>
        <v>0</v>
      </c>
      <c r="BK408" s="26">
        <f t="shared" si="176"/>
        <v>0</v>
      </c>
      <c r="BL408" s="26">
        <f t="shared" si="176"/>
        <v>0</v>
      </c>
      <c r="BN408" s="29">
        <f t="shared" si="177"/>
        <v>0</v>
      </c>
    </row>
    <row r="409" spans="2:66" ht="14.25">
      <c r="B409" s="61"/>
      <c r="O409" s="2">
        <f t="shared" si="174"/>
        <v>0</v>
      </c>
      <c r="AO409" s="2">
        <f t="shared" si="175"/>
        <v>0</v>
      </c>
      <c r="AP409" s="2">
        <f t="shared" si="175"/>
        <v>0</v>
      </c>
      <c r="AS409" s="2">
        <f t="shared" si="178"/>
        <v>0</v>
      </c>
      <c r="BK409" s="26">
        <f t="shared" si="176"/>
        <v>0</v>
      </c>
      <c r="BL409" s="26">
        <f t="shared" si="176"/>
        <v>0</v>
      </c>
      <c r="BN409" s="29">
        <f t="shared" si="177"/>
        <v>0</v>
      </c>
    </row>
    <row r="410" spans="2:66" ht="14.25">
      <c r="B410" s="61"/>
      <c r="O410" s="2">
        <f t="shared" si="174"/>
        <v>0</v>
      </c>
      <c r="AO410" s="2">
        <f t="shared" si="175"/>
        <v>0</v>
      </c>
      <c r="AP410" s="2">
        <f t="shared" si="175"/>
        <v>0</v>
      </c>
      <c r="AS410" s="2">
        <f t="shared" si="178"/>
        <v>0</v>
      </c>
      <c r="BK410" s="26">
        <f t="shared" si="176"/>
        <v>0</v>
      </c>
      <c r="BL410" s="26">
        <f t="shared" si="176"/>
        <v>0</v>
      </c>
      <c r="BN410" s="29">
        <f t="shared" si="177"/>
        <v>0</v>
      </c>
    </row>
    <row r="411" spans="2:66" ht="15">
      <c r="B411" s="79" t="s">
        <v>384</v>
      </c>
      <c r="O411" s="2">
        <f t="shared" si="174"/>
        <v>0</v>
      </c>
      <c r="AO411" s="2">
        <f t="shared" si="175"/>
        <v>0</v>
      </c>
      <c r="AP411" s="2">
        <f t="shared" si="175"/>
        <v>0</v>
      </c>
      <c r="AS411" s="2">
        <f t="shared" si="178"/>
        <v>0</v>
      </c>
      <c r="BK411" s="26">
        <f t="shared" si="176"/>
        <v>0</v>
      </c>
      <c r="BL411" s="26">
        <f t="shared" si="176"/>
        <v>0</v>
      </c>
      <c r="BN411" s="29">
        <f t="shared" si="177"/>
        <v>0</v>
      </c>
    </row>
    <row r="412" spans="2:66" ht="14.25">
      <c r="B412" s="64" t="s">
        <v>385</v>
      </c>
      <c r="O412" s="2">
        <f t="shared" si="174"/>
        <v>0</v>
      </c>
      <c r="AO412" s="2">
        <f t="shared" si="175"/>
        <v>0</v>
      </c>
      <c r="AP412" s="2">
        <f t="shared" si="175"/>
        <v>0</v>
      </c>
      <c r="AS412" s="2">
        <f t="shared" si="178"/>
        <v>0</v>
      </c>
      <c r="BK412" s="26">
        <f t="shared" si="176"/>
        <v>0</v>
      </c>
      <c r="BL412" s="26">
        <f t="shared" si="176"/>
        <v>0</v>
      </c>
      <c r="BN412" s="29">
        <f t="shared" si="177"/>
        <v>0</v>
      </c>
    </row>
    <row r="413" spans="1:66" s="35" customFormat="1" ht="14.25">
      <c r="A413" s="118" t="s">
        <v>339</v>
      </c>
      <c r="B413" s="107" t="s">
        <v>230</v>
      </c>
      <c r="O413" s="37">
        <f t="shared" si="174"/>
        <v>0</v>
      </c>
      <c r="AO413" s="37">
        <f t="shared" si="175"/>
        <v>0</v>
      </c>
      <c r="AP413" s="37">
        <f t="shared" si="175"/>
        <v>0</v>
      </c>
      <c r="AS413" s="37">
        <f t="shared" si="178"/>
        <v>0</v>
      </c>
      <c r="BD413" s="109"/>
      <c r="BI413" s="35">
        <f aca="true" t="shared" si="180" ref="BI413:BJ415">AO413</f>
        <v>0</v>
      </c>
      <c r="BJ413" s="35">
        <f t="shared" si="180"/>
        <v>0</v>
      </c>
      <c r="BK413" s="37">
        <f t="shared" si="176"/>
        <v>0</v>
      </c>
      <c r="BL413" s="37">
        <f t="shared" si="176"/>
        <v>0</v>
      </c>
      <c r="BN413" s="29">
        <f t="shared" si="177"/>
        <v>0</v>
      </c>
    </row>
    <row r="414" spans="1:66" s="35" customFormat="1" ht="28.5">
      <c r="A414" s="118"/>
      <c r="B414" s="107" t="s">
        <v>279</v>
      </c>
      <c r="O414" s="37">
        <f t="shared" si="174"/>
        <v>0</v>
      </c>
      <c r="AO414" s="37">
        <f t="shared" si="175"/>
        <v>0</v>
      </c>
      <c r="AP414" s="37">
        <f t="shared" si="175"/>
        <v>0</v>
      </c>
      <c r="AS414" s="37">
        <f t="shared" si="178"/>
        <v>0</v>
      </c>
      <c r="BD414" s="109"/>
      <c r="BI414" s="35">
        <f t="shared" si="180"/>
        <v>0</v>
      </c>
      <c r="BJ414" s="35">
        <f t="shared" si="180"/>
        <v>0</v>
      </c>
      <c r="BK414" s="37">
        <f t="shared" si="176"/>
        <v>0</v>
      </c>
      <c r="BL414" s="37">
        <f t="shared" si="176"/>
        <v>0</v>
      </c>
      <c r="BN414" s="29">
        <f t="shared" si="177"/>
        <v>0</v>
      </c>
    </row>
    <row r="415" spans="1:66" s="35" customFormat="1" ht="14.25">
      <c r="A415" s="118"/>
      <c r="B415" s="107" t="s">
        <v>229</v>
      </c>
      <c r="O415" s="37">
        <f t="shared" si="174"/>
        <v>0</v>
      </c>
      <c r="AO415" s="37">
        <f t="shared" si="175"/>
        <v>0</v>
      </c>
      <c r="AP415" s="37">
        <f t="shared" si="175"/>
        <v>0</v>
      </c>
      <c r="AS415" s="37">
        <f t="shared" si="178"/>
        <v>0</v>
      </c>
      <c r="BD415" s="109"/>
      <c r="BI415" s="35">
        <f t="shared" si="180"/>
        <v>0</v>
      </c>
      <c r="BJ415" s="35">
        <f t="shared" si="180"/>
        <v>0</v>
      </c>
      <c r="BK415" s="37">
        <f t="shared" si="176"/>
        <v>0</v>
      </c>
      <c r="BL415" s="37">
        <f t="shared" si="176"/>
        <v>0</v>
      </c>
      <c r="BN415" s="29">
        <f t="shared" si="177"/>
        <v>0</v>
      </c>
    </row>
    <row r="416" spans="1:66" s="18" customFormat="1" ht="14.25">
      <c r="A416" s="125" t="s">
        <v>340</v>
      </c>
      <c r="B416" s="76" t="s">
        <v>230</v>
      </c>
      <c r="G416" s="20"/>
      <c r="H416" s="20"/>
      <c r="I416" s="91"/>
      <c r="J416" s="91"/>
      <c r="K416" s="91"/>
      <c r="L416" s="91"/>
      <c r="M416" s="20"/>
      <c r="O416" s="50">
        <f t="shared" si="174"/>
        <v>0</v>
      </c>
      <c r="AO416" s="50">
        <f t="shared" si="175"/>
        <v>0</v>
      </c>
      <c r="AP416" s="50">
        <f t="shared" si="175"/>
        <v>0</v>
      </c>
      <c r="AS416" s="50">
        <f t="shared" si="178"/>
        <v>0</v>
      </c>
      <c r="BD416" s="92"/>
      <c r="BG416" s="18">
        <f aca="true" t="shared" si="181" ref="BG416:BH418">AO416</f>
        <v>0</v>
      </c>
      <c r="BH416" s="18">
        <f t="shared" si="181"/>
        <v>0</v>
      </c>
      <c r="BK416" s="50">
        <f t="shared" si="176"/>
        <v>0</v>
      </c>
      <c r="BL416" s="50">
        <f t="shared" si="176"/>
        <v>0</v>
      </c>
      <c r="BN416" s="29">
        <f t="shared" si="177"/>
        <v>0</v>
      </c>
    </row>
    <row r="417" spans="1:66" s="18" customFormat="1" ht="28.5">
      <c r="A417" s="125"/>
      <c r="B417" s="76" t="s">
        <v>279</v>
      </c>
      <c r="G417" s="20"/>
      <c r="M417" s="20"/>
      <c r="O417" s="50">
        <f t="shared" si="174"/>
        <v>0</v>
      </c>
      <c r="AO417" s="50">
        <f aca="true" t="shared" si="182" ref="AO417:AP420">Q417+S417+U417+W417+Y417+AA417+AC417+AE417+AG417+AI417+AK417+AM417</f>
        <v>0</v>
      </c>
      <c r="AP417" s="50">
        <f t="shared" si="182"/>
        <v>0</v>
      </c>
      <c r="AS417" s="50">
        <f t="shared" si="178"/>
        <v>0</v>
      </c>
      <c r="BD417" s="92"/>
      <c r="BG417" s="18">
        <f t="shared" si="181"/>
        <v>0</v>
      </c>
      <c r="BH417" s="18">
        <f t="shared" si="181"/>
        <v>0</v>
      </c>
      <c r="BK417" s="50">
        <f t="shared" si="176"/>
        <v>0</v>
      </c>
      <c r="BL417" s="50">
        <f t="shared" si="176"/>
        <v>0</v>
      </c>
      <c r="BN417" s="29">
        <f t="shared" si="177"/>
        <v>0</v>
      </c>
    </row>
    <row r="418" spans="1:66" s="18" customFormat="1" ht="14.25">
      <c r="A418" s="125"/>
      <c r="B418" s="76" t="s">
        <v>229</v>
      </c>
      <c r="G418" s="20"/>
      <c r="M418" s="20"/>
      <c r="O418" s="50">
        <f t="shared" si="174"/>
        <v>0</v>
      </c>
      <c r="AO418" s="50">
        <f t="shared" si="182"/>
        <v>0</v>
      </c>
      <c r="AP418" s="50">
        <f t="shared" si="182"/>
        <v>0</v>
      </c>
      <c r="AS418" s="50">
        <f t="shared" si="178"/>
        <v>0</v>
      </c>
      <c r="BD418" s="92"/>
      <c r="BG418" s="18">
        <f t="shared" si="181"/>
        <v>0</v>
      </c>
      <c r="BH418" s="18">
        <f t="shared" si="181"/>
        <v>0</v>
      </c>
      <c r="BK418" s="50">
        <f t="shared" si="176"/>
        <v>0</v>
      </c>
      <c r="BL418" s="50">
        <f t="shared" si="176"/>
        <v>0</v>
      </c>
      <c r="BN418" s="29">
        <f t="shared" si="177"/>
        <v>0</v>
      </c>
    </row>
    <row r="419" spans="2:66" ht="28.5">
      <c r="B419" s="61" t="s">
        <v>233</v>
      </c>
      <c r="O419" s="2">
        <f t="shared" si="174"/>
        <v>0</v>
      </c>
      <c r="AO419" s="2">
        <f t="shared" si="182"/>
        <v>0</v>
      </c>
      <c r="AP419" s="2">
        <f t="shared" si="182"/>
        <v>0</v>
      </c>
      <c r="AS419" s="2">
        <f t="shared" si="178"/>
        <v>0</v>
      </c>
      <c r="BK419" s="26">
        <f t="shared" si="176"/>
        <v>0</v>
      </c>
      <c r="BL419" s="26">
        <f t="shared" si="176"/>
        <v>0</v>
      </c>
      <c r="BN419" s="29">
        <f t="shared" si="177"/>
        <v>0</v>
      </c>
    </row>
    <row r="420" spans="2:66" ht="28.5">
      <c r="B420" s="61" t="s">
        <v>236</v>
      </c>
      <c r="O420" s="2">
        <f t="shared" si="174"/>
        <v>0</v>
      </c>
      <c r="AO420" s="2">
        <f t="shared" si="182"/>
        <v>0</v>
      </c>
      <c r="AP420" s="2">
        <f t="shared" si="182"/>
        <v>0</v>
      </c>
      <c r="AS420" s="2">
        <f t="shared" si="178"/>
        <v>0</v>
      </c>
      <c r="BK420" s="26">
        <f>AW420+AY420+BA420+BC420+BE420+BG420+BI420</f>
        <v>0</v>
      </c>
      <c r="BL420" s="26">
        <f t="shared" si="176"/>
        <v>0</v>
      </c>
      <c r="BN420" s="29">
        <f t="shared" si="177"/>
        <v>0</v>
      </c>
    </row>
    <row r="421" spans="2:66" s="16" customFormat="1" ht="15">
      <c r="B421" s="67" t="s">
        <v>146</v>
      </c>
      <c r="E421" s="17">
        <f aca="true" t="shared" si="183" ref="E421:M421">SUM(E422:E430)</f>
        <v>0</v>
      </c>
      <c r="F421" s="17">
        <f t="shared" si="183"/>
        <v>0</v>
      </c>
      <c r="G421" s="17">
        <f>SUM(G422:G430)</f>
        <v>0</v>
      </c>
      <c r="H421" s="17">
        <f>SUM(H422:H430)</f>
        <v>0</v>
      </c>
      <c r="I421" s="17">
        <f t="shared" si="183"/>
        <v>0</v>
      </c>
      <c r="J421" s="17">
        <f t="shared" si="183"/>
        <v>0</v>
      </c>
      <c r="K421" s="17">
        <f t="shared" si="183"/>
        <v>0</v>
      </c>
      <c r="L421" s="17">
        <f t="shared" si="183"/>
        <v>0</v>
      </c>
      <c r="M421" s="17">
        <f t="shared" si="183"/>
        <v>0</v>
      </c>
      <c r="N421" s="17">
        <f>SUM(N422:N430)</f>
        <v>0</v>
      </c>
      <c r="O421" s="16">
        <f aca="true" t="shared" si="184" ref="O421:O426">SUM(E421:N421)</f>
        <v>0</v>
      </c>
      <c r="P421" s="19">
        <v>0</v>
      </c>
      <c r="Q421" s="17">
        <f aca="true" t="shared" si="185" ref="Q421:AP421">SUM(Q422:Q430)</f>
        <v>0</v>
      </c>
      <c r="R421" s="17">
        <f t="shared" si="185"/>
        <v>0</v>
      </c>
      <c r="S421" s="17">
        <f t="shared" si="185"/>
        <v>0</v>
      </c>
      <c r="T421" s="17">
        <f t="shared" si="185"/>
        <v>0</v>
      </c>
      <c r="U421" s="17">
        <f t="shared" si="185"/>
        <v>0</v>
      </c>
      <c r="V421" s="17">
        <f t="shared" si="185"/>
        <v>0</v>
      </c>
      <c r="W421" s="17">
        <f t="shared" si="185"/>
        <v>0</v>
      </c>
      <c r="X421" s="17">
        <f t="shared" si="185"/>
        <v>0</v>
      </c>
      <c r="Y421" s="17">
        <f t="shared" si="185"/>
        <v>0</v>
      </c>
      <c r="Z421" s="17">
        <f t="shared" si="185"/>
        <v>0</v>
      </c>
      <c r="AA421" s="17">
        <f t="shared" si="185"/>
        <v>0</v>
      </c>
      <c r="AB421" s="17">
        <f t="shared" si="185"/>
        <v>0</v>
      </c>
      <c r="AC421" s="17">
        <f t="shared" si="185"/>
        <v>0</v>
      </c>
      <c r="AD421" s="17">
        <f t="shared" si="185"/>
        <v>0</v>
      </c>
      <c r="AE421" s="17">
        <f t="shared" si="185"/>
        <v>0</v>
      </c>
      <c r="AF421" s="17">
        <f t="shared" si="185"/>
        <v>0</v>
      </c>
      <c r="AG421" s="17">
        <f t="shared" si="185"/>
        <v>0</v>
      </c>
      <c r="AH421" s="17">
        <f t="shared" si="185"/>
        <v>0</v>
      </c>
      <c r="AI421" s="17">
        <f t="shared" si="185"/>
        <v>0</v>
      </c>
      <c r="AJ421" s="17">
        <f t="shared" si="185"/>
        <v>0</v>
      </c>
      <c r="AK421" s="17">
        <f t="shared" si="185"/>
        <v>0</v>
      </c>
      <c r="AL421" s="17">
        <f t="shared" si="185"/>
        <v>0</v>
      </c>
      <c r="AM421" s="17">
        <f t="shared" si="185"/>
        <v>0</v>
      </c>
      <c r="AN421" s="17">
        <f t="shared" si="185"/>
        <v>0</v>
      </c>
      <c r="AO421" s="17">
        <f t="shared" si="185"/>
        <v>0</v>
      </c>
      <c r="AP421" s="17">
        <f t="shared" si="185"/>
        <v>0</v>
      </c>
      <c r="AW421" s="17">
        <f aca="true" t="shared" si="186" ref="AW421:BL421">SUM(AW422:AW430)</f>
        <v>0</v>
      </c>
      <c r="AX421" s="17">
        <f t="shared" si="186"/>
        <v>0</v>
      </c>
      <c r="AY421" s="17">
        <f t="shared" si="186"/>
        <v>0</v>
      </c>
      <c r="AZ421" s="17">
        <f t="shared" si="186"/>
        <v>0</v>
      </c>
      <c r="BA421" s="17">
        <f t="shared" si="186"/>
        <v>0</v>
      </c>
      <c r="BB421" s="17">
        <f t="shared" si="186"/>
        <v>0</v>
      </c>
      <c r="BC421" s="17">
        <f t="shared" si="186"/>
        <v>0</v>
      </c>
      <c r="BD421" s="17">
        <f t="shared" si="186"/>
        <v>0</v>
      </c>
      <c r="BE421" s="17">
        <f t="shared" si="186"/>
        <v>0</v>
      </c>
      <c r="BF421" s="17">
        <f t="shared" si="186"/>
        <v>0</v>
      </c>
      <c r="BG421" s="17">
        <f t="shared" si="186"/>
        <v>0</v>
      </c>
      <c r="BH421" s="17">
        <f t="shared" si="186"/>
        <v>0</v>
      </c>
      <c r="BI421" s="17">
        <f t="shared" si="186"/>
        <v>0</v>
      </c>
      <c r="BJ421" s="17">
        <f t="shared" si="186"/>
        <v>0</v>
      </c>
      <c r="BK421" s="17">
        <f t="shared" si="186"/>
        <v>0</v>
      </c>
      <c r="BL421" s="17">
        <f t="shared" si="186"/>
        <v>0</v>
      </c>
      <c r="BM421" s="17"/>
      <c r="BN421" s="17">
        <f>SUM(BN422:BN430)</f>
        <v>0</v>
      </c>
    </row>
    <row r="422" spans="2:66" s="4" customFormat="1" ht="14.25">
      <c r="B422" s="64"/>
      <c r="O422" s="2">
        <f t="shared" si="184"/>
        <v>0</v>
      </c>
      <c r="P422" s="19">
        <f>P421-O421</f>
        <v>0</v>
      </c>
      <c r="AO422" s="2">
        <f>Q422+S422+U422+W422+Y422+AA422+AC422+AE422+AG422+AI422+AK422+AM422</f>
        <v>0</v>
      </c>
      <c r="AP422" s="2">
        <f>R422+T422+V422+X422+Z422+AB422+AD422+AF422+AH422+AJ422+AL422+AN422</f>
        <v>0</v>
      </c>
      <c r="AS422" s="2">
        <f>O422-AP422</f>
        <v>0</v>
      </c>
      <c r="BD422" s="71"/>
      <c r="BK422" s="26">
        <f aca="true" t="shared" si="187" ref="BK422:BL430">AW422+AY422+BA422+BC422+BE422+BG422+BI422</f>
        <v>0</v>
      </c>
      <c r="BL422" s="26">
        <f t="shared" si="187"/>
        <v>0</v>
      </c>
      <c r="BN422" s="29">
        <f t="shared" si="177"/>
        <v>0</v>
      </c>
    </row>
    <row r="423" spans="2:66" s="4" customFormat="1" ht="14.25">
      <c r="B423" s="64"/>
      <c r="O423" s="2">
        <f t="shared" si="184"/>
        <v>0</v>
      </c>
      <c r="P423" s="23"/>
      <c r="AO423" s="2">
        <f>Q423+S423+U423+W423+Y423+AA423+AC423+AE423+AG423+AI423+AK423+AM423</f>
        <v>0</v>
      </c>
      <c r="AP423" s="2">
        <f>R423+T423+V423+X423+Z423+AB423+AD423+AF423+AH423+AJ423+AL423+AN423</f>
        <v>0</v>
      </c>
      <c r="AS423" s="2">
        <f>O423-AP423</f>
        <v>0</v>
      </c>
      <c r="BD423" s="71"/>
      <c r="BK423" s="26">
        <f t="shared" si="187"/>
        <v>0</v>
      </c>
      <c r="BL423" s="26">
        <f t="shared" si="187"/>
        <v>0</v>
      </c>
      <c r="BN423" s="29">
        <f t="shared" si="177"/>
        <v>0</v>
      </c>
    </row>
    <row r="424" spans="2:66" s="4" customFormat="1" ht="14.25">
      <c r="B424" s="64"/>
      <c r="O424" s="2">
        <f t="shared" si="184"/>
        <v>0</v>
      </c>
      <c r="P424" s="23"/>
      <c r="AO424" s="2">
        <f aca="true" t="shared" si="188" ref="AO424:AP429">Q424+S424+U424+W424+Y424+AA424+AC424+AE424+AG424+AI424+AK424+AM424</f>
        <v>0</v>
      </c>
      <c r="AP424" s="2">
        <f t="shared" si="188"/>
        <v>0</v>
      </c>
      <c r="AS424" s="2">
        <f aca="true" t="shared" si="189" ref="AS424:AS429">O424-AP424</f>
        <v>0</v>
      </c>
      <c r="BD424" s="71"/>
      <c r="BK424" s="26">
        <f t="shared" si="187"/>
        <v>0</v>
      </c>
      <c r="BL424" s="26">
        <f t="shared" si="187"/>
        <v>0</v>
      </c>
      <c r="BN424" s="29">
        <f t="shared" si="177"/>
        <v>0</v>
      </c>
    </row>
    <row r="425" spans="2:66" s="4" customFormat="1" ht="14.25">
      <c r="B425" s="64"/>
      <c r="O425" s="2">
        <f t="shared" si="184"/>
        <v>0</v>
      </c>
      <c r="P425" s="23"/>
      <c r="AO425" s="2">
        <f t="shared" si="188"/>
        <v>0</v>
      </c>
      <c r="AP425" s="2">
        <f t="shared" si="188"/>
        <v>0</v>
      </c>
      <c r="AS425" s="2">
        <f t="shared" si="189"/>
        <v>0</v>
      </c>
      <c r="BD425" s="71"/>
      <c r="BK425" s="26">
        <f t="shared" si="187"/>
        <v>0</v>
      </c>
      <c r="BL425" s="26">
        <f t="shared" si="187"/>
        <v>0</v>
      </c>
      <c r="BN425" s="29">
        <f t="shared" si="177"/>
        <v>0</v>
      </c>
    </row>
    <row r="426" spans="2:66" s="4" customFormat="1" ht="14.25">
      <c r="B426" s="64"/>
      <c r="O426" s="2">
        <f t="shared" si="184"/>
        <v>0</v>
      </c>
      <c r="P426" s="23"/>
      <c r="AO426" s="2">
        <f t="shared" si="188"/>
        <v>0</v>
      </c>
      <c r="AP426" s="2">
        <f t="shared" si="188"/>
        <v>0</v>
      </c>
      <c r="AS426" s="2">
        <f t="shared" si="189"/>
        <v>0</v>
      </c>
      <c r="BD426" s="71"/>
      <c r="BK426" s="26">
        <f t="shared" si="187"/>
        <v>0</v>
      </c>
      <c r="BL426" s="26">
        <f t="shared" si="187"/>
        <v>0</v>
      </c>
      <c r="BN426" s="29">
        <f t="shared" si="177"/>
        <v>0</v>
      </c>
    </row>
    <row r="427" spans="2:66" s="4" customFormat="1" ht="14.25">
      <c r="B427" s="64"/>
      <c r="P427" s="23"/>
      <c r="AO427" s="2">
        <f t="shared" si="188"/>
        <v>0</v>
      </c>
      <c r="AP427" s="2">
        <f t="shared" si="188"/>
        <v>0</v>
      </c>
      <c r="AS427" s="2">
        <f t="shared" si="189"/>
        <v>0</v>
      </c>
      <c r="BD427" s="71"/>
      <c r="BK427" s="26">
        <f t="shared" si="187"/>
        <v>0</v>
      </c>
      <c r="BL427" s="26">
        <f t="shared" si="187"/>
        <v>0</v>
      </c>
      <c r="BN427" s="29">
        <f t="shared" si="177"/>
        <v>0</v>
      </c>
    </row>
    <row r="428" spans="2:66" s="4" customFormat="1" ht="14.25">
      <c r="B428" s="64"/>
      <c r="P428" s="23"/>
      <c r="AO428" s="2">
        <f t="shared" si="188"/>
        <v>0</v>
      </c>
      <c r="AP428" s="2">
        <f t="shared" si="188"/>
        <v>0</v>
      </c>
      <c r="AS428" s="2">
        <f t="shared" si="189"/>
        <v>0</v>
      </c>
      <c r="BD428" s="71"/>
      <c r="BK428" s="26">
        <f t="shared" si="187"/>
        <v>0</v>
      </c>
      <c r="BL428" s="26">
        <f t="shared" si="187"/>
        <v>0</v>
      </c>
      <c r="BN428" s="29">
        <f t="shared" si="177"/>
        <v>0</v>
      </c>
    </row>
    <row r="429" spans="2:66" s="4" customFormat="1" ht="14.25">
      <c r="B429" s="64"/>
      <c r="C429" s="13"/>
      <c r="D429" s="15"/>
      <c r="E429" s="7"/>
      <c r="F429" s="7"/>
      <c r="P429" s="23"/>
      <c r="AO429" s="2">
        <f t="shared" si="188"/>
        <v>0</v>
      </c>
      <c r="AP429" s="2">
        <f t="shared" si="188"/>
        <v>0</v>
      </c>
      <c r="AS429" s="2">
        <f t="shared" si="189"/>
        <v>0</v>
      </c>
      <c r="BD429" s="71"/>
      <c r="BK429" s="26">
        <f t="shared" si="187"/>
        <v>0</v>
      </c>
      <c r="BL429" s="26">
        <f t="shared" si="187"/>
        <v>0</v>
      </c>
      <c r="BN429" s="29">
        <f t="shared" si="177"/>
        <v>0</v>
      </c>
    </row>
    <row r="430" spans="2:66" s="4" customFormat="1" ht="14.25">
      <c r="B430" s="81"/>
      <c r="P430" s="23"/>
      <c r="BD430" s="71"/>
      <c r="BK430" s="26">
        <f t="shared" si="187"/>
        <v>0</v>
      </c>
      <c r="BL430" s="26">
        <f t="shared" si="187"/>
        <v>0</v>
      </c>
      <c r="BN430" s="29">
        <f t="shared" si="177"/>
        <v>0</v>
      </c>
    </row>
    <row r="431" spans="2:66" s="16" customFormat="1" ht="15">
      <c r="B431" s="67" t="s">
        <v>145</v>
      </c>
      <c r="E431" s="17">
        <f>SUM(E432:E456)</f>
        <v>0</v>
      </c>
      <c r="F431" s="17">
        <f>SUM(F432:F456)</f>
        <v>0</v>
      </c>
      <c r="G431" s="17">
        <f>SUM(G432:G456)</f>
        <v>0</v>
      </c>
      <c r="H431" s="17">
        <f>SUM(H432:H456)</f>
        <v>0</v>
      </c>
      <c r="I431" s="17">
        <f aca="true" t="shared" si="190" ref="I431:N431">SUM(I432:I456)</f>
        <v>0</v>
      </c>
      <c r="J431" s="17">
        <f t="shared" si="190"/>
        <v>0</v>
      </c>
      <c r="K431" s="17">
        <f t="shared" si="190"/>
        <v>0</v>
      </c>
      <c r="L431" s="17">
        <f t="shared" si="190"/>
        <v>0</v>
      </c>
      <c r="M431" s="17">
        <f t="shared" si="190"/>
        <v>0</v>
      </c>
      <c r="N431" s="17">
        <f t="shared" si="190"/>
        <v>0</v>
      </c>
      <c r="O431" s="16">
        <f>SUM(E431:N431)</f>
        <v>0</v>
      </c>
      <c r="P431" s="19">
        <v>0</v>
      </c>
      <c r="Q431" s="17">
        <f aca="true" t="shared" si="191" ref="Q431:AP431">SUM(Q432:Q456)</f>
        <v>0</v>
      </c>
      <c r="R431" s="17">
        <f t="shared" si="191"/>
        <v>0</v>
      </c>
      <c r="S431" s="17">
        <f t="shared" si="191"/>
        <v>0</v>
      </c>
      <c r="T431" s="17">
        <f t="shared" si="191"/>
        <v>0</v>
      </c>
      <c r="U431" s="17">
        <f t="shared" si="191"/>
        <v>0</v>
      </c>
      <c r="V431" s="17">
        <f t="shared" si="191"/>
        <v>0</v>
      </c>
      <c r="W431" s="17">
        <f t="shared" si="191"/>
        <v>0</v>
      </c>
      <c r="X431" s="17">
        <f t="shared" si="191"/>
        <v>0</v>
      </c>
      <c r="Y431" s="17">
        <f t="shared" si="191"/>
        <v>0</v>
      </c>
      <c r="Z431" s="17">
        <f t="shared" si="191"/>
        <v>0</v>
      </c>
      <c r="AA431" s="17">
        <f t="shared" si="191"/>
        <v>0</v>
      </c>
      <c r="AB431" s="17">
        <f t="shared" si="191"/>
        <v>0</v>
      </c>
      <c r="AC431" s="17">
        <f t="shared" si="191"/>
        <v>0</v>
      </c>
      <c r="AD431" s="17">
        <f t="shared" si="191"/>
        <v>0</v>
      </c>
      <c r="AE431" s="17">
        <f t="shared" si="191"/>
        <v>0</v>
      </c>
      <c r="AF431" s="17">
        <f t="shared" si="191"/>
        <v>0</v>
      </c>
      <c r="AG431" s="17">
        <f t="shared" si="191"/>
        <v>0</v>
      </c>
      <c r="AH431" s="17">
        <f t="shared" si="191"/>
        <v>0</v>
      </c>
      <c r="AI431" s="17">
        <f t="shared" si="191"/>
        <v>0</v>
      </c>
      <c r="AJ431" s="17">
        <f t="shared" si="191"/>
        <v>0</v>
      </c>
      <c r="AK431" s="17">
        <f t="shared" si="191"/>
        <v>0</v>
      </c>
      <c r="AL431" s="17">
        <f t="shared" si="191"/>
        <v>0</v>
      </c>
      <c r="AM431" s="17">
        <f t="shared" si="191"/>
        <v>0</v>
      </c>
      <c r="AN431" s="17">
        <f t="shared" si="191"/>
        <v>0</v>
      </c>
      <c r="AO431" s="17">
        <f t="shared" si="191"/>
        <v>0</v>
      </c>
      <c r="AP431" s="17">
        <f t="shared" si="191"/>
        <v>0</v>
      </c>
      <c r="AW431" s="17">
        <f aca="true" t="shared" si="192" ref="AW431:BL431">SUM(AW432:AW456)</f>
        <v>0</v>
      </c>
      <c r="AX431" s="17">
        <f t="shared" si="192"/>
        <v>0</v>
      </c>
      <c r="AY431" s="17">
        <f t="shared" si="192"/>
        <v>0</v>
      </c>
      <c r="AZ431" s="17">
        <f t="shared" si="192"/>
        <v>0</v>
      </c>
      <c r="BA431" s="17">
        <f t="shared" si="192"/>
        <v>0</v>
      </c>
      <c r="BB431" s="17">
        <f t="shared" si="192"/>
        <v>0</v>
      </c>
      <c r="BC431" s="17">
        <f t="shared" si="192"/>
        <v>0</v>
      </c>
      <c r="BD431" s="17">
        <f t="shared" si="192"/>
        <v>0</v>
      </c>
      <c r="BE431" s="17">
        <f t="shared" si="192"/>
        <v>0</v>
      </c>
      <c r="BF431" s="17">
        <f t="shared" si="192"/>
        <v>0</v>
      </c>
      <c r="BG431" s="17">
        <f t="shared" si="192"/>
        <v>0</v>
      </c>
      <c r="BH431" s="17">
        <f t="shared" si="192"/>
        <v>0</v>
      </c>
      <c r="BI431" s="17">
        <f t="shared" si="192"/>
        <v>0</v>
      </c>
      <c r="BJ431" s="17">
        <f t="shared" si="192"/>
        <v>0</v>
      </c>
      <c r="BK431" s="17">
        <f t="shared" si="192"/>
        <v>0</v>
      </c>
      <c r="BL431" s="17">
        <f t="shared" si="192"/>
        <v>0</v>
      </c>
      <c r="BM431" s="17"/>
      <c r="BN431" s="17">
        <f>SUM(BN432:BN456)</f>
        <v>0</v>
      </c>
    </row>
    <row r="432" spans="2:66" s="4" customFormat="1" ht="71.25">
      <c r="B432" s="64" t="s">
        <v>353</v>
      </c>
      <c r="O432" s="2">
        <f aca="true" t="shared" si="193" ref="O432:O450">SUM(E432:N432)</f>
        <v>0</v>
      </c>
      <c r="P432" s="19">
        <f>P431-O431</f>
        <v>0</v>
      </c>
      <c r="AO432" s="2">
        <f aca="true" t="shared" si="194" ref="AO432:AP450">Q432+S432+U432+W432+Y432+AA432+AC432+AE432+AG432+AI432+AK432+AM432</f>
        <v>0</v>
      </c>
      <c r="AP432" s="2">
        <f t="shared" si="194"/>
        <v>0</v>
      </c>
      <c r="AQ432"/>
      <c r="AR432"/>
      <c r="AS432" s="2">
        <f aca="true" t="shared" si="195" ref="AS432:AS450">O432-AP432</f>
        <v>0</v>
      </c>
      <c r="BD432" s="71"/>
      <c r="BK432" s="26">
        <f aca="true" t="shared" si="196" ref="BK432:BL456">AW432+AY432+BA432+BC432+BE432+BG432+BI432</f>
        <v>0</v>
      </c>
      <c r="BL432" s="26">
        <f t="shared" si="196"/>
        <v>0</v>
      </c>
      <c r="BN432" s="29">
        <f t="shared" si="177"/>
        <v>0</v>
      </c>
    </row>
    <row r="433" spans="2:66" s="4" customFormat="1" ht="57">
      <c r="B433" s="64" t="s">
        <v>354</v>
      </c>
      <c r="O433" s="2">
        <f t="shared" si="193"/>
        <v>0</v>
      </c>
      <c r="P433" s="23"/>
      <c r="AO433" s="2">
        <f t="shared" si="194"/>
        <v>0</v>
      </c>
      <c r="AP433" s="2">
        <f t="shared" si="194"/>
        <v>0</v>
      </c>
      <c r="AQ433"/>
      <c r="AR433"/>
      <c r="AS433" s="2">
        <f t="shared" si="195"/>
        <v>0</v>
      </c>
      <c r="BD433" s="71"/>
      <c r="BK433" s="26">
        <f t="shared" si="196"/>
        <v>0</v>
      </c>
      <c r="BL433" s="26">
        <f t="shared" si="196"/>
        <v>0</v>
      </c>
      <c r="BN433" s="29">
        <f t="shared" si="177"/>
        <v>0</v>
      </c>
    </row>
    <row r="434" spans="2:66" s="4" customFormat="1" ht="57">
      <c r="B434" s="64" t="s">
        <v>355</v>
      </c>
      <c r="O434" s="2">
        <f t="shared" si="193"/>
        <v>0</v>
      </c>
      <c r="P434" s="23"/>
      <c r="AO434" s="2">
        <f t="shared" si="194"/>
        <v>0</v>
      </c>
      <c r="AP434" s="2">
        <f t="shared" si="194"/>
        <v>0</v>
      </c>
      <c r="AQ434"/>
      <c r="AR434"/>
      <c r="AS434" s="2">
        <f t="shared" si="195"/>
        <v>0</v>
      </c>
      <c r="BD434" s="71"/>
      <c r="BK434" s="26">
        <f t="shared" si="196"/>
        <v>0</v>
      </c>
      <c r="BL434" s="26">
        <f t="shared" si="196"/>
        <v>0</v>
      </c>
      <c r="BN434" s="29">
        <f t="shared" si="177"/>
        <v>0</v>
      </c>
    </row>
    <row r="435" spans="2:66" s="4" customFormat="1" ht="42.75">
      <c r="B435" s="64" t="s">
        <v>356</v>
      </c>
      <c r="O435" s="2">
        <f t="shared" si="193"/>
        <v>0</v>
      </c>
      <c r="P435" s="23"/>
      <c r="AO435" s="2">
        <f t="shared" si="194"/>
        <v>0</v>
      </c>
      <c r="AP435" s="2">
        <f t="shared" si="194"/>
        <v>0</v>
      </c>
      <c r="AQ435"/>
      <c r="AR435"/>
      <c r="AS435" s="2">
        <f t="shared" si="195"/>
        <v>0</v>
      </c>
      <c r="BD435" s="71"/>
      <c r="BK435" s="26">
        <f t="shared" si="196"/>
        <v>0</v>
      </c>
      <c r="BL435" s="26">
        <f t="shared" si="196"/>
        <v>0</v>
      </c>
      <c r="BN435" s="29">
        <f t="shared" si="177"/>
        <v>0</v>
      </c>
    </row>
    <row r="436" spans="2:66" s="4" customFormat="1" ht="42.75">
      <c r="B436" s="64" t="s">
        <v>389</v>
      </c>
      <c r="O436" s="2">
        <f t="shared" si="193"/>
        <v>0</v>
      </c>
      <c r="P436" s="23"/>
      <c r="AO436" s="2">
        <f t="shared" si="194"/>
        <v>0</v>
      </c>
      <c r="AP436" s="2">
        <f t="shared" si="194"/>
        <v>0</v>
      </c>
      <c r="AQ436"/>
      <c r="AR436"/>
      <c r="AS436" s="2">
        <f t="shared" si="195"/>
        <v>0</v>
      </c>
      <c r="BD436" s="71"/>
      <c r="BK436" s="26">
        <f t="shared" si="196"/>
        <v>0</v>
      </c>
      <c r="BL436" s="26">
        <f t="shared" si="196"/>
        <v>0</v>
      </c>
      <c r="BN436" s="29">
        <f t="shared" si="177"/>
        <v>0</v>
      </c>
    </row>
    <row r="437" spans="2:66" s="4" customFormat="1" ht="57">
      <c r="B437" s="64" t="s">
        <v>406</v>
      </c>
      <c r="O437" s="2">
        <f t="shared" si="193"/>
        <v>0</v>
      </c>
      <c r="P437" s="23"/>
      <c r="AO437" s="2">
        <f t="shared" si="194"/>
        <v>0</v>
      </c>
      <c r="AP437" s="2">
        <f t="shared" si="194"/>
        <v>0</v>
      </c>
      <c r="AQ437"/>
      <c r="AR437"/>
      <c r="AS437" s="2">
        <f t="shared" si="195"/>
        <v>0</v>
      </c>
      <c r="BD437" s="71"/>
      <c r="BK437" s="26">
        <f t="shared" si="196"/>
        <v>0</v>
      </c>
      <c r="BL437" s="26">
        <f t="shared" si="196"/>
        <v>0</v>
      </c>
      <c r="BN437" s="29">
        <f t="shared" si="177"/>
        <v>0</v>
      </c>
    </row>
    <row r="438" spans="2:66" s="4" customFormat="1" ht="57">
      <c r="B438" s="64" t="s">
        <v>407</v>
      </c>
      <c r="O438" s="2">
        <f t="shared" si="193"/>
        <v>0</v>
      </c>
      <c r="P438" s="23"/>
      <c r="AO438" s="2">
        <f t="shared" si="194"/>
        <v>0</v>
      </c>
      <c r="AP438" s="2">
        <f t="shared" si="194"/>
        <v>0</v>
      </c>
      <c r="AQ438"/>
      <c r="AR438"/>
      <c r="AS438" s="2">
        <f t="shared" si="195"/>
        <v>0</v>
      </c>
      <c r="BD438" s="71"/>
      <c r="BK438" s="26">
        <f t="shared" si="196"/>
        <v>0</v>
      </c>
      <c r="BL438" s="26">
        <f t="shared" si="196"/>
        <v>0</v>
      </c>
      <c r="BN438" s="29">
        <f t="shared" si="177"/>
        <v>0</v>
      </c>
    </row>
    <row r="439" spans="2:66" s="4" customFormat="1" ht="57">
      <c r="B439" s="64" t="s">
        <v>447</v>
      </c>
      <c r="O439" s="2">
        <f t="shared" si="193"/>
        <v>0</v>
      </c>
      <c r="P439" s="23"/>
      <c r="AO439" s="2">
        <f t="shared" si="194"/>
        <v>0</v>
      </c>
      <c r="AP439" s="2">
        <f t="shared" si="194"/>
        <v>0</v>
      </c>
      <c r="AQ439"/>
      <c r="AR439"/>
      <c r="AS439" s="2">
        <f t="shared" si="195"/>
        <v>0</v>
      </c>
      <c r="BD439" s="71"/>
      <c r="BK439" s="26">
        <f t="shared" si="196"/>
        <v>0</v>
      </c>
      <c r="BL439" s="26">
        <f t="shared" si="196"/>
        <v>0</v>
      </c>
      <c r="BN439" s="29">
        <f t="shared" si="177"/>
        <v>0</v>
      </c>
    </row>
    <row r="440" spans="2:66" s="4" customFormat="1" ht="28.5">
      <c r="B440" s="64" t="s">
        <v>448</v>
      </c>
      <c r="O440" s="2">
        <f t="shared" si="193"/>
        <v>0</v>
      </c>
      <c r="P440" s="23"/>
      <c r="AO440" s="2">
        <f t="shared" si="194"/>
        <v>0</v>
      </c>
      <c r="AP440" s="2">
        <f t="shared" si="194"/>
        <v>0</v>
      </c>
      <c r="AQ440"/>
      <c r="AR440"/>
      <c r="AS440" s="2">
        <f t="shared" si="195"/>
        <v>0</v>
      </c>
      <c r="BD440" s="71"/>
      <c r="BK440" s="26">
        <f t="shared" si="196"/>
        <v>0</v>
      </c>
      <c r="BL440" s="26">
        <f t="shared" si="196"/>
        <v>0</v>
      </c>
      <c r="BN440" s="29">
        <f t="shared" si="177"/>
        <v>0</v>
      </c>
    </row>
    <row r="441" spans="2:66" s="4" customFormat="1" ht="28.5">
      <c r="B441" s="64" t="s">
        <v>461</v>
      </c>
      <c r="O441" s="2">
        <f t="shared" si="193"/>
        <v>0</v>
      </c>
      <c r="P441" s="23"/>
      <c r="AO441" s="2">
        <f t="shared" si="194"/>
        <v>0</v>
      </c>
      <c r="AP441" s="2">
        <f t="shared" si="194"/>
        <v>0</v>
      </c>
      <c r="AQ441"/>
      <c r="AR441"/>
      <c r="AS441" s="2">
        <f t="shared" si="195"/>
        <v>0</v>
      </c>
      <c r="BD441" s="71"/>
      <c r="BK441" s="26">
        <f t="shared" si="196"/>
        <v>0</v>
      </c>
      <c r="BL441" s="26">
        <f t="shared" si="196"/>
        <v>0</v>
      </c>
      <c r="BN441" s="29">
        <f t="shared" si="177"/>
        <v>0</v>
      </c>
    </row>
    <row r="442" spans="2:66" s="4" customFormat="1" ht="14.25">
      <c r="B442" s="61"/>
      <c r="O442" s="2">
        <f t="shared" si="193"/>
        <v>0</v>
      </c>
      <c r="P442" s="23"/>
      <c r="AO442" s="2">
        <f t="shared" si="194"/>
        <v>0</v>
      </c>
      <c r="AP442" s="2">
        <f t="shared" si="194"/>
        <v>0</v>
      </c>
      <c r="AQ442"/>
      <c r="AR442"/>
      <c r="AS442" s="2">
        <f t="shared" si="195"/>
        <v>0</v>
      </c>
      <c r="BD442" s="71"/>
      <c r="BK442" s="26">
        <f t="shared" si="196"/>
        <v>0</v>
      </c>
      <c r="BL442" s="26">
        <f t="shared" si="196"/>
        <v>0</v>
      </c>
      <c r="BN442" s="29">
        <f t="shared" si="177"/>
        <v>0</v>
      </c>
    </row>
    <row r="443" spans="2:66" s="4" customFormat="1" ht="14.25">
      <c r="B443" s="64"/>
      <c r="O443" s="2">
        <f t="shared" si="193"/>
        <v>0</v>
      </c>
      <c r="P443" s="23"/>
      <c r="AO443" s="2">
        <f t="shared" si="194"/>
        <v>0</v>
      </c>
      <c r="AP443" s="2">
        <f t="shared" si="194"/>
        <v>0</v>
      </c>
      <c r="AQ443"/>
      <c r="AR443"/>
      <c r="AS443" s="2">
        <f t="shared" si="195"/>
        <v>0</v>
      </c>
      <c r="BD443" s="71"/>
      <c r="BK443" s="26">
        <f t="shared" si="196"/>
        <v>0</v>
      </c>
      <c r="BL443" s="26">
        <f t="shared" si="196"/>
        <v>0</v>
      </c>
      <c r="BN443" s="29">
        <f t="shared" si="177"/>
        <v>0</v>
      </c>
    </row>
    <row r="444" spans="2:66" s="4" customFormat="1" ht="14.25">
      <c r="B444" s="64"/>
      <c r="O444" s="2">
        <f t="shared" si="193"/>
        <v>0</v>
      </c>
      <c r="P444" s="23"/>
      <c r="AO444" s="2">
        <f t="shared" si="194"/>
        <v>0</v>
      </c>
      <c r="AP444" s="2">
        <f t="shared" si="194"/>
        <v>0</v>
      </c>
      <c r="AQ444"/>
      <c r="AR444"/>
      <c r="AS444" s="2">
        <f t="shared" si="195"/>
        <v>0</v>
      </c>
      <c r="BD444" s="71"/>
      <c r="BK444" s="26">
        <f t="shared" si="196"/>
        <v>0</v>
      </c>
      <c r="BL444" s="26">
        <f t="shared" si="196"/>
        <v>0</v>
      </c>
      <c r="BN444" s="29">
        <f t="shared" si="177"/>
        <v>0</v>
      </c>
    </row>
    <row r="445" spans="2:66" s="4" customFormat="1" ht="14.25">
      <c r="B445" s="64"/>
      <c r="O445" s="2">
        <f t="shared" si="193"/>
        <v>0</v>
      </c>
      <c r="P445" s="23"/>
      <c r="AO445" s="2">
        <f t="shared" si="194"/>
        <v>0</v>
      </c>
      <c r="AP445" s="2">
        <f t="shared" si="194"/>
        <v>0</v>
      </c>
      <c r="AQ445"/>
      <c r="AR445"/>
      <c r="AS445" s="2">
        <f t="shared" si="195"/>
        <v>0</v>
      </c>
      <c r="BD445" s="71"/>
      <c r="BK445" s="26">
        <f t="shared" si="196"/>
        <v>0</v>
      </c>
      <c r="BL445" s="26">
        <f t="shared" si="196"/>
        <v>0</v>
      </c>
      <c r="BN445" s="29">
        <f t="shared" si="177"/>
        <v>0</v>
      </c>
    </row>
    <row r="446" spans="2:66" s="4" customFormat="1" ht="14.25">
      <c r="B446" s="64"/>
      <c r="O446" s="2">
        <f t="shared" si="193"/>
        <v>0</v>
      </c>
      <c r="P446" s="23"/>
      <c r="AO446" s="2">
        <f t="shared" si="194"/>
        <v>0</v>
      </c>
      <c r="AP446" s="2">
        <f t="shared" si="194"/>
        <v>0</v>
      </c>
      <c r="AQ446"/>
      <c r="AR446"/>
      <c r="AS446" s="2">
        <f t="shared" si="195"/>
        <v>0</v>
      </c>
      <c r="BD446" s="71"/>
      <c r="BK446" s="26">
        <f t="shared" si="196"/>
        <v>0</v>
      </c>
      <c r="BL446" s="26">
        <f t="shared" si="196"/>
        <v>0</v>
      </c>
      <c r="BN446" s="29">
        <f t="shared" si="177"/>
        <v>0</v>
      </c>
    </row>
    <row r="447" spans="2:66" s="4" customFormat="1" ht="14.25">
      <c r="B447" s="64"/>
      <c r="O447" s="2">
        <f t="shared" si="193"/>
        <v>0</v>
      </c>
      <c r="P447" s="23"/>
      <c r="AO447" s="2">
        <f t="shared" si="194"/>
        <v>0</v>
      </c>
      <c r="AP447" s="2">
        <f t="shared" si="194"/>
        <v>0</v>
      </c>
      <c r="AQ447"/>
      <c r="AR447"/>
      <c r="AS447" s="2">
        <f t="shared" si="195"/>
        <v>0</v>
      </c>
      <c r="BD447" s="71"/>
      <c r="BK447" s="26">
        <f t="shared" si="196"/>
        <v>0</v>
      </c>
      <c r="BL447" s="26">
        <f t="shared" si="196"/>
        <v>0</v>
      </c>
      <c r="BN447" s="29">
        <f t="shared" si="177"/>
        <v>0</v>
      </c>
    </row>
    <row r="448" spans="2:66" s="4" customFormat="1" ht="14.25">
      <c r="B448" s="64"/>
      <c r="O448" s="2">
        <f t="shared" si="193"/>
        <v>0</v>
      </c>
      <c r="P448" s="23"/>
      <c r="AO448" s="2">
        <f t="shared" si="194"/>
        <v>0</v>
      </c>
      <c r="AP448" s="2">
        <f t="shared" si="194"/>
        <v>0</v>
      </c>
      <c r="AQ448"/>
      <c r="AR448"/>
      <c r="AS448" s="2">
        <f t="shared" si="195"/>
        <v>0</v>
      </c>
      <c r="BD448" s="71"/>
      <c r="BK448" s="26">
        <f t="shared" si="196"/>
        <v>0</v>
      </c>
      <c r="BL448" s="26">
        <f t="shared" si="196"/>
        <v>0</v>
      </c>
      <c r="BN448" s="29">
        <f t="shared" si="177"/>
        <v>0</v>
      </c>
    </row>
    <row r="449" spans="2:66" s="4" customFormat="1" ht="14.25">
      <c r="B449" s="64"/>
      <c r="O449" s="2">
        <f t="shared" si="193"/>
        <v>0</v>
      </c>
      <c r="P449" s="23"/>
      <c r="AO449" s="2">
        <f t="shared" si="194"/>
        <v>0</v>
      </c>
      <c r="AP449" s="2">
        <f t="shared" si="194"/>
        <v>0</v>
      </c>
      <c r="AQ449"/>
      <c r="AR449"/>
      <c r="AS449" s="2">
        <f t="shared" si="195"/>
        <v>0</v>
      </c>
      <c r="BD449" s="71"/>
      <c r="BK449" s="26">
        <f t="shared" si="196"/>
        <v>0</v>
      </c>
      <c r="BL449" s="26">
        <f t="shared" si="196"/>
        <v>0</v>
      </c>
      <c r="BN449" s="29">
        <f t="shared" si="177"/>
        <v>0</v>
      </c>
    </row>
    <row r="450" spans="2:66" s="4" customFormat="1" ht="14.25">
      <c r="B450" s="64"/>
      <c r="O450" s="2">
        <f t="shared" si="193"/>
        <v>0</v>
      </c>
      <c r="P450" s="23"/>
      <c r="AO450" s="2">
        <f t="shared" si="194"/>
        <v>0</v>
      </c>
      <c r="AP450" s="2">
        <f t="shared" si="194"/>
        <v>0</v>
      </c>
      <c r="AQ450"/>
      <c r="AR450"/>
      <c r="AS450" s="2">
        <f t="shared" si="195"/>
        <v>0</v>
      </c>
      <c r="BD450" s="71"/>
      <c r="BK450" s="26">
        <f t="shared" si="196"/>
        <v>0</v>
      </c>
      <c r="BL450" s="26">
        <f t="shared" si="196"/>
        <v>0</v>
      </c>
      <c r="BN450" s="29">
        <f t="shared" si="177"/>
        <v>0</v>
      </c>
    </row>
    <row r="451" spans="2:66" s="4" customFormat="1" ht="14.25">
      <c r="B451" s="64"/>
      <c r="P451" s="23"/>
      <c r="BD451" s="71"/>
      <c r="BK451" s="26">
        <f t="shared" si="196"/>
        <v>0</v>
      </c>
      <c r="BL451" s="26">
        <f t="shared" si="196"/>
        <v>0</v>
      </c>
      <c r="BN451" s="29">
        <f t="shared" si="177"/>
        <v>0</v>
      </c>
    </row>
    <row r="452" spans="2:66" s="4" customFormat="1" ht="14.25">
      <c r="B452" s="64"/>
      <c r="P452" s="23"/>
      <c r="BD452" s="71"/>
      <c r="BK452" s="26">
        <f t="shared" si="196"/>
        <v>0</v>
      </c>
      <c r="BL452" s="26">
        <f t="shared" si="196"/>
        <v>0</v>
      </c>
      <c r="BN452" s="29">
        <f t="shared" si="177"/>
        <v>0</v>
      </c>
    </row>
    <row r="453" spans="2:66" s="4" customFormat="1" ht="14.25">
      <c r="B453" s="64"/>
      <c r="P453" s="23"/>
      <c r="BD453" s="71"/>
      <c r="BK453" s="26">
        <f t="shared" si="196"/>
        <v>0</v>
      </c>
      <c r="BL453" s="26">
        <f t="shared" si="196"/>
        <v>0</v>
      </c>
      <c r="BN453" s="29">
        <f t="shared" si="177"/>
        <v>0</v>
      </c>
    </row>
    <row r="454" spans="2:66" s="4" customFormat="1" ht="14.25">
      <c r="B454" s="64"/>
      <c r="P454" s="23"/>
      <c r="BD454" s="71"/>
      <c r="BK454" s="26">
        <f t="shared" si="196"/>
        <v>0</v>
      </c>
      <c r="BL454" s="26">
        <f t="shared" si="196"/>
        <v>0</v>
      </c>
      <c r="BN454" s="29">
        <f t="shared" si="177"/>
        <v>0</v>
      </c>
    </row>
    <row r="455" spans="2:66" s="4" customFormat="1" ht="14.25">
      <c r="B455" s="64"/>
      <c r="P455" s="23"/>
      <c r="BD455" s="71"/>
      <c r="BK455" s="26">
        <f t="shared" si="196"/>
        <v>0</v>
      </c>
      <c r="BL455" s="26">
        <f t="shared" si="196"/>
        <v>0</v>
      </c>
      <c r="BN455" s="29">
        <f t="shared" si="177"/>
        <v>0</v>
      </c>
    </row>
    <row r="456" spans="2:66" s="4" customFormat="1" ht="14.25">
      <c r="B456" s="64"/>
      <c r="P456" s="23"/>
      <c r="BD456" s="71"/>
      <c r="BK456" s="26">
        <f>AW456+AY456+BA456+BC456+BE456+BG456+BI456</f>
        <v>0</v>
      </c>
      <c r="BL456" s="26">
        <f t="shared" si="196"/>
        <v>0</v>
      </c>
      <c r="BN456" s="29">
        <f t="shared" si="177"/>
        <v>0</v>
      </c>
    </row>
    <row r="457" spans="2:66" s="16" customFormat="1" ht="15">
      <c r="B457" s="67" t="s">
        <v>144</v>
      </c>
      <c r="E457" s="17">
        <f aca="true" t="shared" si="197" ref="E457:L457">SUM(E458:E462)</f>
        <v>0</v>
      </c>
      <c r="F457" s="17">
        <f t="shared" si="197"/>
        <v>0</v>
      </c>
      <c r="G457" s="17">
        <f>SUM(G458:G462)</f>
        <v>0</v>
      </c>
      <c r="H457" s="17">
        <f>SUM(H458:H462)</f>
        <v>0</v>
      </c>
      <c r="I457" s="17">
        <f t="shared" si="197"/>
        <v>0</v>
      </c>
      <c r="J457" s="17">
        <f t="shared" si="197"/>
        <v>0</v>
      </c>
      <c r="K457" s="17">
        <f t="shared" si="197"/>
        <v>0</v>
      </c>
      <c r="L457" s="17">
        <f t="shared" si="197"/>
        <v>0</v>
      </c>
      <c r="M457" s="17">
        <f>SUM(M458:M462)</f>
        <v>0</v>
      </c>
      <c r="N457" s="17">
        <f>SUM(N458:N462)</f>
        <v>0</v>
      </c>
      <c r="O457" s="16">
        <f>SUM(E457:N457)</f>
        <v>0</v>
      </c>
      <c r="P457" s="19">
        <v>0</v>
      </c>
      <c r="Q457" s="17">
        <f aca="true" t="shared" si="198" ref="Q457:AP457">SUM(Q458:Q462)</f>
        <v>0</v>
      </c>
      <c r="R457" s="17">
        <f t="shared" si="198"/>
        <v>0</v>
      </c>
      <c r="S457" s="17">
        <f t="shared" si="198"/>
        <v>0</v>
      </c>
      <c r="T457" s="17">
        <f t="shared" si="198"/>
        <v>0</v>
      </c>
      <c r="U457" s="17">
        <f t="shared" si="198"/>
        <v>0</v>
      </c>
      <c r="V457" s="17">
        <f t="shared" si="198"/>
        <v>0</v>
      </c>
      <c r="W457" s="17">
        <f t="shared" si="198"/>
        <v>0</v>
      </c>
      <c r="X457" s="17">
        <f t="shared" si="198"/>
        <v>0</v>
      </c>
      <c r="Y457" s="17">
        <f t="shared" si="198"/>
        <v>0</v>
      </c>
      <c r="Z457" s="17">
        <f t="shared" si="198"/>
        <v>0</v>
      </c>
      <c r="AA457" s="17">
        <f t="shared" si="198"/>
        <v>0</v>
      </c>
      <c r="AB457" s="17">
        <f t="shared" si="198"/>
        <v>0</v>
      </c>
      <c r="AC457" s="17">
        <f t="shared" si="198"/>
        <v>0</v>
      </c>
      <c r="AD457" s="17">
        <f t="shared" si="198"/>
        <v>0</v>
      </c>
      <c r="AE457" s="17">
        <f t="shared" si="198"/>
        <v>0</v>
      </c>
      <c r="AF457" s="17">
        <f t="shared" si="198"/>
        <v>0</v>
      </c>
      <c r="AG457" s="17">
        <f t="shared" si="198"/>
        <v>0</v>
      </c>
      <c r="AH457" s="17">
        <f t="shared" si="198"/>
        <v>0</v>
      </c>
      <c r="AI457" s="17">
        <f t="shared" si="198"/>
        <v>0</v>
      </c>
      <c r="AJ457" s="17">
        <f t="shared" si="198"/>
        <v>0</v>
      </c>
      <c r="AK457" s="17">
        <f t="shared" si="198"/>
        <v>0</v>
      </c>
      <c r="AL457" s="17">
        <f t="shared" si="198"/>
        <v>0</v>
      </c>
      <c r="AM457" s="17">
        <f t="shared" si="198"/>
        <v>0</v>
      </c>
      <c r="AN457" s="17">
        <f>SUM(AN458:AN462)</f>
        <v>0</v>
      </c>
      <c r="AO457" s="17">
        <f t="shared" si="198"/>
        <v>0</v>
      </c>
      <c r="AP457" s="17">
        <f t="shared" si="198"/>
        <v>0</v>
      </c>
      <c r="AW457" s="17">
        <f aca="true" t="shared" si="199" ref="AW457:BL457">SUM(AW458:AW462)</f>
        <v>0</v>
      </c>
      <c r="AX457" s="17">
        <f t="shared" si="199"/>
        <v>0</v>
      </c>
      <c r="AY457" s="17">
        <f t="shared" si="199"/>
        <v>0</v>
      </c>
      <c r="AZ457" s="17">
        <f t="shared" si="199"/>
        <v>0</v>
      </c>
      <c r="BA457" s="17">
        <f t="shared" si="199"/>
        <v>0</v>
      </c>
      <c r="BB457" s="17">
        <f t="shared" si="199"/>
        <v>0</v>
      </c>
      <c r="BC457" s="17">
        <f t="shared" si="199"/>
        <v>0</v>
      </c>
      <c r="BD457" s="17">
        <f t="shared" si="199"/>
        <v>0</v>
      </c>
      <c r="BE457" s="17">
        <f t="shared" si="199"/>
        <v>0</v>
      </c>
      <c r="BF457" s="17">
        <f t="shared" si="199"/>
        <v>0</v>
      </c>
      <c r="BG457" s="17">
        <f t="shared" si="199"/>
        <v>0</v>
      </c>
      <c r="BH457" s="17">
        <f t="shared" si="199"/>
        <v>0</v>
      </c>
      <c r="BI457" s="17">
        <f t="shared" si="199"/>
        <v>0</v>
      </c>
      <c r="BJ457" s="17">
        <f t="shared" si="199"/>
        <v>0</v>
      </c>
      <c r="BK457" s="17">
        <f t="shared" si="199"/>
        <v>0</v>
      </c>
      <c r="BL457" s="17">
        <f t="shared" si="199"/>
        <v>0</v>
      </c>
      <c r="BM457" s="17"/>
      <c r="BN457" s="17">
        <f>SUM(BN458:BN462)</f>
        <v>0</v>
      </c>
    </row>
    <row r="458" spans="2:66" s="4" customFormat="1" ht="14.25">
      <c r="B458" s="64"/>
      <c r="E458" s="4">
        <v>0</v>
      </c>
      <c r="O458" s="2">
        <f>SUM(E458:N458)</f>
        <v>0</v>
      </c>
      <c r="P458" s="19">
        <f>P457-O457</f>
        <v>0</v>
      </c>
      <c r="AO458" s="2">
        <f>Q458+S458+U458+W458+Y458+AA458+AC458+AE458+AG458+AI458+AK458+AM458</f>
        <v>0</v>
      </c>
      <c r="AP458" s="2">
        <f>R458+T458+V458+X458+Z458+AB458+AD458+AF458+AH458+AJ458+AL458+AN458</f>
        <v>0</v>
      </c>
      <c r="AQ458"/>
      <c r="AR458"/>
      <c r="AS458" s="2">
        <f>O458-AP458</f>
        <v>0</v>
      </c>
      <c r="BD458" s="71"/>
      <c r="BK458" s="26">
        <f aca="true" t="shared" si="200" ref="BK458:BL463">AW458+AY458+BA458+BC458+BE458+BG458+BI458</f>
        <v>0</v>
      </c>
      <c r="BL458" s="26">
        <f t="shared" si="200"/>
        <v>0</v>
      </c>
      <c r="BN458" s="29">
        <f t="shared" si="177"/>
        <v>0</v>
      </c>
    </row>
    <row r="459" spans="2:66" s="4" customFormat="1" ht="14.25">
      <c r="B459" s="64"/>
      <c r="E459" s="4">
        <v>0</v>
      </c>
      <c r="O459" s="2">
        <f>SUM(E459:N459)</f>
        <v>0</v>
      </c>
      <c r="P459" s="23"/>
      <c r="AB459" s="23"/>
      <c r="AC459" s="23"/>
      <c r="AD459" s="23"/>
      <c r="AO459" s="2">
        <f>Q459+S459+U459+W459+Y459+AA459+AC459+AE459+AG459+AI459+AK459+AM459</f>
        <v>0</v>
      </c>
      <c r="AP459" s="2">
        <f>R459+T459+V459+X459+Z459+AB459+AD459+AF459+AH459+AJ459+AL459+AN459</f>
        <v>0</v>
      </c>
      <c r="AQ459"/>
      <c r="AR459"/>
      <c r="AS459" s="2">
        <f>O459-AP459</f>
        <v>0</v>
      </c>
      <c r="BD459" s="71"/>
      <c r="BK459" s="26">
        <f t="shared" si="200"/>
        <v>0</v>
      </c>
      <c r="BL459" s="26">
        <f t="shared" si="200"/>
        <v>0</v>
      </c>
      <c r="BN459" s="29">
        <f aca="true" t="shared" si="201" ref="BN459:BN466">BL459-AP459</f>
        <v>0</v>
      </c>
    </row>
    <row r="460" spans="2:66" s="4" customFormat="1" ht="14.25">
      <c r="B460" s="64"/>
      <c r="O460" s="2">
        <f>SUM(E460:N460)</f>
        <v>0</v>
      </c>
      <c r="P460" s="23"/>
      <c r="AB460" s="23"/>
      <c r="AC460" s="23"/>
      <c r="AD460" s="23"/>
      <c r="AO460" s="2"/>
      <c r="AP460" s="2"/>
      <c r="AQ460"/>
      <c r="AR460"/>
      <c r="AS460" s="2"/>
      <c r="BD460" s="71"/>
      <c r="BK460" s="26">
        <f t="shared" si="200"/>
        <v>0</v>
      </c>
      <c r="BL460" s="26">
        <f t="shared" si="200"/>
        <v>0</v>
      </c>
      <c r="BN460" s="29">
        <f t="shared" si="201"/>
        <v>0</v>
      </c>
    </row>
    <row r="461" spans="2:66" s="4" customFormat="1" ht="14.25">
      <c r="B461" s="64"/>
      <c r="O461" s="2">
        <f>SUM(E461:N461)</f>
        <v>0</v>
      </c>
      <c r="P461" s="23"/>
      <c r="AO461" s="2"/>
      <c r="AP461" s="2"/>
      <c r="AQ461"/>
      <c r="AR461"/>
      <c r="AS461" s="2"/>
      <c r="BD461" s="71"/>
      <c r="BK461" s="26">
        <f t="shared" si="200"/>
        <v>0</v>
      </c>
      <c r="BL461" s="26">
        <f t="shared" si="200"/>
        <v>0</v>
      </c>
      <c r="BN461" s="29">
        <f t="shared" si="201"/>
        <v>0</v>
      </c>
    </row>
    <row r="462" spans="2:66" s="4" customFormat="1" ht="14.25">
      <c r="B462" s="64"/>
      <c r="P462" s="23"/>
      <c r="BD462" s="71"/>
      <c r="BK462" s="26">
        <f t="shared" si="200"/>
        <v>0</v>
      </c>
      <c r="BL462" s="26">
        <f t="shared" si="200"/>
        <v>0</v>
      </c>
      <c r="BN462" s="29">
        <f t="shared" si="201"/>
        <v>0</v>
      </c>
    </row>
    <row r="463" spans="2:66" s="4" customFormat="1" ht="14.25">
      <c r="B463" s="64"/>
      <c r="P463" s="23"/>
      <c r="BD463" s="71"/>
      <c r="BK463" s="26">
        <f t="shared" si="200"/>
        <v>0</v>
      </c>
      <c r="BL463" s="26">
        <f t="shared" si="200"/>
        <v>0</v>
      </c>
      <c r="BN463" s="29">
        <f t="shared" si="201"/>
        <v>0</v>
      </c>
    </row>
    <row r="464" spans="2:66" s="16" customFormat="1" ht="30">
      <c r="B464" s="67" t="s">
        <v>226</v>
      </c>
      <c r="E464" s="17">
        <f>SUM(E465:E466)</f>
        <v>0</v>
      </c>
      <c r="F464" s="17">
        <f>SUM(F465:F466)</f>
        <v>0</v>
      </c>
      <c r="G464" s="17">
        <f aca="true" t="shared" si="202" ref="G464:M464">SUM(G465:G466)</f>
        <v>0</v>
      </c>
      <c r="H464" s="17">
        <f t="shared" si="202"/>
        <v>0</v>
      </c>
      <c r="I464" s="17">
        <f t="shared" si="202"/>
        <v>0</v>
      </c>
      <c r="J464" s="17">
        <f t="shared" si="202"/>
        <v>0</v>
      </c>
      <c r="K464" s="17">
        <f t="shared" si="202"/>
        <v>0</v>
      </c>
      <c r="L464" s="17">
        <f t="shared" si="202"/>
        <v>0</v>
      </c>
      <c r="M464" s="17">
        <f t="shared" si="202"/>
        <v>0</v>
      </c>
      <c r="N464" s="17">
        <f>SUM(N465:N466)</f>
        <v>0</v>
      </c>
      <c r="O464" s="16">
        <f>SUM(E464:N464)</f>
        <v>0</v>
      </c>
      <c r="P464" s="16">
        <v>0</v>
      </c>
      <c r="Q464" s="17">
        <f aca="true" t="shared" si="203" ref="Q464:AO464">SUM(Q465:Q466)</f>
        <v>0</v>
      </c>
      <c r="R464" s="17">
        <f t="shared" si="203"/>
        <v>0</v>
      </c>
      <c r="S464" s="17">
        <f t="shared" si="203"/>
        <v>0</v>
      </c>
      <c r="T464" s="17">
        <f t="shared" si="203"/>
        <v>0</v>
      </c>
      <c r="U464" s="17">
        <f t="shared" si="203"/>
        <v>0</v>
      </c>
      <c r="V464" s="17">
        <f t="shared" si="203"/>
        <v>0</v>
      </c>
      <c r="W464" s="17">
        <f t="shared" si="203"/>
        <v>0</v>
      </c>
      <c r="X464" s="17">
        <f t="shared" si="203"/>
        <v>0</v>
      </c>
      <c r="Y464" s="17">
        <f t="shared" si="203"/>
        <v>0</v>
      </c>
      <c r="Z464" s="17">
        <f t="shared" si="203"/>
        <v>0</v>
      </c>
      <c r="AA464" s="17">
        <f t="shared" si="203"/>
        <v>0</v>
      </c>
      <c r="AB464" s="17">
        <f t="shared" si="203"/>
        <v>0</v>
      </c>
      <c r="AC464" s="17">
        <f t="shared" si="203"/>
        <v>0</v>
      </c>
      <c r="AD464" s="17">
        <f t="shared" si="203"/>
        <v>0</v>
      </c>
      <c r="AE464" s="17">
        <f t="shared" si="203"/>
        <v>0</v>
      </c>
      <c r="AF464" s="17">
        <f t="shared" si="203"/>
        <v>0</v>
      </c>
      <c r="AG464" s="17">
        <f t="shared" si="203"/>
        <v>0</v>
      </c>
      <c r="AH464" s="17">
        <f t="shared" si="203"/>
        <v>0</v>
      </c>
      <c r="AI464" s="17">
        <f t="shared" si="203"/>
        <v>0</v>
      </c>
      <c r="AJ464" s="17">
        <f t="shared" si="203"/>
        <v>0</v>
      </c>
      <c r="AK464" s="17">
        <f t="shared" si="203"/>
        <v>0</v>
      </c>
      <c r="AL464" s="17">
        <f t="shared" si="203"/>
        <v>0</v>
      </c>
      <c r="AM464" s="17">
        <f t="shared" si="203"/>
        <v>1</v>
      </c>
      <c r="AN464" s="17">
        <f t="shared" si="203"/>
        <v>400</v>
      </c>
      <c r="AO464" s="17">
        <f t="shared" si="203"/>
        <v>1</v>
      </c>
      <c r="AP464" s="17">
        <f>SUM(AP465:AP466)</f>
        <v>400</v>
      </c>
      <c r="AS464" s="54"/>
      <c r="AW464" s="17">
        <f aca="true" t="shared" si="204" ref="AW464:BJ464">SUM(AW465:AW466)</f>
        <v>0</v>
      </c>
      <c r="AX464" s="17">
        <f t="shared" si="204"/>
        <v>0</v>
      </c>
      <c r="AY464" s="17">
        <f t="shared" si="204"/>
        <v>0</v>
      </c>
      <c r="AZ464" s="17">
        <f t="shared" si="204"/>
        <v>0</v>
      </c>
      <c r="BA464" s="17">
        <f t="shared" si="204"/>
        <v>0</v>
      </c>
      <c r="BB464" s="17">
        <f t="shared" si="204"/>
        <v>0</v>
      </c>
      <c r="BC464" s="17">
        <f t="shared" si="204"/>
        <v>0</v>
      </c>
      <c r="BD464" s="17">
        <f t="shared" si="204"/>
        <v>400</v>
      </c>
      <c r="BE464" s="17">
        <f t="shared" si="204"/>
        <v>0</v>
      </c>
      <c r="BF464" s="17">
        <f t="shared" si="204"/>
        <v>0</v>
      </c>
      <c r="BG464" s="17">
        <f t="shared" si="204"/>
        <v>0</v>
      </c>
      <c r="BH464" s="17">
        <f t="shared" si="204"/>
        <v>0</v>
      </c>
      <c r="BI464" s="17">
        <f t="shared" si="204"/>
        <v>0</v>
      </c>
      <c r="BJ464" s="17">
        <f t="shared" si="204"/>
        <v>0</v>
      </c>
      <c r="BK464" s="17">
        <f>SUM(BK465:BK466)</f>
        <v>0</v>
      </c>
      <c r="BL464" s="17">
        <f>SUM(BL465:BL466)</f>
        <v>400</v>
      </c>
      <c r="BM464" s="17"/>
      <c r="BN464" s="17">
        <f>SUM(BN465:BN466)</f>
        <v>0</v>
      </c>
    </row>
    <row r="465" spans="2:66" s="4" customFormat="1" ht="14.25">
      <c r="B465" s="64" t="s">
        <v>450</v>
      </c>
      <c r="C465" s="47"/>
      <c r="D465" s="72">
        <v>800</v>
      </c>
      <c r="E465" s="7"/>
      <c r="F465" s="7"/>
      <c r="H465" s="4">
        <f>C465*D465</f>
        <v>0</v>
      </c>
      <c r="O465" s="2">
        <f>SUM(E465:N465)</f>
        <v>0</v>
      </c>
      <c r="P465" s="19">
        <f>P464-O464</f>
        <v>0</v>
      </c>
      <c r="AM465" s="4">
        <v>1</v>
      </c>
      <c r="AN465" s="4">
        <v>400</v>
      </c>
      <c r="AO465" s="2">
        <f aca="true" t="shared" si="205" ref="AO465:AP467">Q465+S465+U465+W465+Y465+AA465+AC465+AE465+AG465+AI465+AK465+AM465</f>
        <v>1</v>
      </c>
      <c r="AP465" s="2">
        <f t="shared" si="205"/>
        <v>400</v>
      </c>
      <c r="AQ465"/>
      <c r="AR465"/>
      <c r="AS465" s="2">
        <f>O465-AP465</f>
        <v>-400</v>
      </c>
      <c r="AT465" s="23"/>
      <c r="AU465" s="23"/>
      <c r="AV465" s="23"/>
      <c r="AW465" s="23"/>
      <c r="AX465" s="23"/>
      <c r="AY465" s="23"/>
      <c r="AZ465" s="23"/>
      <c r="BD465" s="26">
        <f>AP465</f>
        <v>400</v>
      </c>
      <c r="BK465" s="26">
        <f aca="true" t="shared" si="206" ref="BK465:BL467">AW465+AY465+BA465+BC465+BE465+BG465+BI465</f>
        <v>0</v>
      </c>
      <c r="BL465" s="26">
        <f t="shared" si="206"/>
        <v>400</v>
      </c>
      <c r="BN465" s="29">
        <f t="shared" si="201"/>
        <v>0</v>
      </c>
    </row>
    <row r="466" spans="2:66" s="4" customFormat="1" ht="14.25">
      <c r="B466" s="64" t="s">
        <v>198</v>
      </c>
      <c r="C466" s="13"/>
      <c r="D466" s="72">
        <v>700</v>
      </c>
      <c r="E466" s="7"/>
      <c r="F466" s="7"/>
      <c r="H466" s="4">
        <f>C466*D466</f>
        <v>0</v>
      </c>
      <c r="O466" s="2">
        <f>SUM(E466:N466)</f>
        <v>0</v>
      </c>
      <c r="P466" s="23"/>
      <c r="AO466" s="2">
        <f t="shared" si="205"/>
        <v>0</v>
      </c>
      <c r="AP466" s="2">
        <f t="shared" si="205"/>
        <v>0</v>
      </c>
      <c r="BD466" s="26">
        <f>AP466</f>
        <v>0</v>
      </c>
      <c r="BK466" s="26">
        <f t="shared" si="206"/>
        <v>0</v>
      </c>
      <c r="BL466" s="26">
        <f t="shared" si="206"/>
        <v>0</v>
      </c>
      <c r="BN466" s="29">
        <f t="shared" si="201"/>
        <v>0</v>
      </c>
    </row>
    <row r="467" spans="1:76" s="4" customFormat="1" ht="30">
      <c r="A467" s="16"/>
      <c r="B467" s="67" t="s">
        <v>205</v>
      </c>
      <c r="C467" s="16"/>
      <c r="D467" s="17"/>
      <c r="E467" s="17">
        <f aca="true" t="shared" si="207" ref="E467:N467">E468</f>
        <v>0</v>
      </c>
      <c r="F467" s="17">
        <f t="shared" si="207"/>
        <v>0</v>
      </c>
      <c r="G467" s="17">
        <f t="shared" si="207"/>
        <v>0</v>
      </c>
      <c r="H467" s="17">
        <f>H468</f>
        <v>800</v>
      </c>
      <c r="I467" s="17">
        <f t="shared" si="207"/>
        <v>0</v>
      </c>
      <c r="J467" s="17">
        <f t="shared" si="207"/>
        <v>0</v>
      </c>
      <c r="K467" s="17">
        <f t="shared" si="207"/>
        <v>0</v>
      </c>
      <c r="L467" s="17">
        <f t="shared" si="207"/>
        <v>0</v>
      </c>
      <c r="M467" s="17">
        <f t="shared" si="207"/>
        <v>0</v>
      </c>
      <c r="N467" s="17">
        <f t="shared" si="207"/>
        <v>0</v>
      </c>
      <c r="O467" s="16">
        <f>SUM(E467:N467)</f>
        <v>800</v>
      </c>
      <c r="P467" s="16">
        <v>800</v>
      </c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56">
        <f t="shared" si="205"/>
        <v>0</v>
      </c>
      <c r="AP467" s="56">
        <f t="shared" si="205"/>
        <v>0</v>
      </c>
      <c r="AQ467" s="54"/>
      <c r="AR467" s="54"/>
      <c r="AS467" s="56">
        <f>O467-AP467</f>
        <v>800</v>
      </c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56">
        <f>AP467</f>
        <v>0</v>
      </c>
      <c r="BE467" s="16"/>
      <c r="BF467" s="16"/>
      <c r="BG467" s="16"/>
      <c r="BH467" s="16"/>
      <c r="BI467" s="16"/>
      <c r="BJ467" s="16"/>
      <c r="BK467" s="17">
        <f t="shared" si="206"/>
        <v>0</v>
      </c>
      <c r="BL467" s="17">
        <f t="shared" si="206"/>
        <v>0</v>
      </c>
      <c r="BM467" s="17"/>
      <c r="BN467" s="17">
        <f>AZ467+BB467+BD467+BF467+BH467+BJ467+BL467</f>
        <v>0</v>
      </c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</row>
    <row r="468" spans="2:56" s="4" customFormat="1" ht="14.25">
      <c r="B468" s="64"/>
      <c r="C468" s="13">
        <v>1</v>
      </c>
      <c r="D468" s="83">
        <v>800</v>
      </c>
      <c r="E468" s="7"/>
      <c r="F468" s="7"/>
      <c r="G468" s="7"/>
      <c r="H468" s="7">
        <f>C468*D468</f>
        <v>800</v>
      </c>
      <c r="P468" s="19">
        <f>P467-O467</f>
        <v>0</v>
      </c>
      <c r="BD468" s="71"/>
    </row>
    <row r="469" spans="2:56" s="4" customFormat="1" ht="14.25">
      <c r="B469" s="64"/>
      <c r="C469" s="13"/>
      <c r="D469" s="15"/>
      <c r="E469" s="7"/>
      <c r="F469" s="7"/>
      <c r="G469" s="7"/>
      <c r="H469" s="7"/>
      <c r="P469" s="23"/>
      <c r="BD469" s="71"/>
    </row>
    <row r="470" spans="2:66" s="4" customFormat="1" ht="14.25">
      <c r="B470" s="81" t="s">
        <v>96</v>
      </c>
      <c r="C470" s="13"/>
      <c r="D470" s="15"/>
      <c r="E470" s="25">
        <f aca="true" t="shared" si="208" ref="E470:N470">E3+E11+E19+E272+E283+E345+E361+E366+E371+E376+E381+E388+E393+E421+E431+E457+E464+E467</f>
        <v>34454</v>
      </c>
      <c r="F470" s="25">
        <f>F3+F11+F19+F272+F283+F345+F361+F366+F371+F376+F381+F388+F393+F421+F431+F457+F464+F467</f>
        <v>9204</v>
      </c>
      <c r="G470" s="25">
        <f t="shared" si="208"/>
        <v>5582994</v>
      </c>
      <c r="H470" s="25">
        <f>H3+H11+H19+H272+H283+H345+H361+H366+H371+H376+H381+H388+H393+H421+H431+H457+H464+H467</f>
        <v>1769349</v>
      </c>
      <c r="I470" s="25">
        <f t="shared" si="208"/>
        <v>507062</v>
      </c>
      <c r="J470" s="25">
        <f t="shared" si="208"/>
        <v>305723</v>
      </c>
      <c r="K470" s="25">
        <f t="shared" si="208"/>
        <v>386124.06</v>
      </c>
      <c r="L470" s="25">
        <f t="shared" si="208"/>
        <v>0</v>
      </c>
      <c r="M470" s="25">
        <f t="shared" si="208"/>
        <v>0</v>
      </c>
      <c r="N470" s="25">
        <f t="shared" si="208"/>
        <v>0</v>
      </c>
      <c r="O470" s="25">
        <f>O3+O11+O19+O272+O283+O345+O361+O366+O371+O376+O381+O388+O393+O421+O431+O457+O464+O467</f>
        <v>8341276.06</v>
      </c>
      <c r="P470" s="48"/>
      <c r="AP470" s="25">
        <f>AP3+AP11+AP19+AP272+AP283+AP345+AP361+AP366+AP371+AP376+AP381+AP388+AP393+AP421+AP431+AP457+AP464+AP467</f>
        <v>8018379.48</v>
      </c>
      <c r="AW470" s="25">
        <f aca="true" t="shared" si="209" ref="AW470:BJ470">AW3+AW11+AW19+AW272+AW283+AW345+AW361+AW366+AW371+AW376+AW381+AW388+AW393+AW421+AW431+AW457+AW464+AW467</f>
        <v>11</v>
      </c>
      <c r="AX470" s="25">
        <f t="shared" si="209"/>
        <v>10561.5</v>
      </c>
      <c r="AY470" s="25">
        <f>AY3+AY11+AY19+AY272+AY283+AY345+AY361+AY366+AY371+AY376+AY381+AY388+AY393+AY421+AY431+AY457+AY464+AY467</f>
        <v>3</v>
      </c>
      <c r="AZ470" s="25">
        <f>AZ3+AZ11+AZ19+AZ272+AZ283+AZ345+AZ361+AZ366+AZ371+AZ376+AZ381+AZ388+AZ393+AZ421+AZ431+AZ457+AZ464+AZ467</f>
        <v>6268</v>
      </c>
      <c r="BA470" s="25">
        <f t="shared" si="209"/>
        <v>0</v>
      </c>
      <c r="BB470" s="25">
        <f t="shared" si="209"/>
        <v>5071937.25</v>
      </c>
      <c r="BC470" s="25">
        <f t="shared" si="209"/>
        <v>5783.722</v>
      </c>
      <c r="BD470" s="25">
        <f t="shared" si="209"/>
        <v>2543488.67</v>
      </c>
      <c r="BE470" s="25">
        <f t="shared" si="209"/>
        <v>8</v>
      </c>
      <c r="BF470" s="25">
        <f t="shared" si="209"/>
        <v>386124.06</v>
      </c>
      <c r="BG470" s="25">
        <f t="shared" si="209"/>
        <v>0</v>
      </c>
      <c r="BH470" s="25">
        <f t="shared" si="209"/>
        <v>0</v>
      </c>
      <c r="BI470" s="25">
        <f t="shared" si="209"/>
        <v>0</v>
      </c>
      <c r="BJ470" s="25">
        <f t="shared" si="209"/>
        <v>0</v>
      </c>
      <c r="BK470" s="25">
        <f>BK3+BK11+BK19+BK272+BK283+BK345+BK361+BK366+BK371+BK376+BK381+BK388+BK393+BK421+BK431+BK457+BK464+BK467</f>
        <v>5822.448</v>
      </c>
      <c r="BL470" s="25">
        <f>BL3+BL11+BL19+BL272+BL283+BL345+BL361+BL366+BL371+BL376+BL381+BL388+BL393+BL421+BL431+BL457+BL464+BL467</f>
        <v>8054376.760000001</v>
      </c>
      <c r="BM470" s="113">
        <f>AX470+AZ470+BB470+BD470+BF470+BH470+BJ470</f>
        <v>8018379.4799999995</v>
      </c>
      <c r="BN470" s="25">
        <f>BN3+BN11+BN19+BN272+BN283+BN345+BN361+BN366+BN371+BN376+BN381+BN388+BN393+BN421+BN431+BN457+BN464+BN467</f>
        <v>0</v>
      </c>
    </row>
    <row r="471" spans="2:65" s="4" customFormat="1" ht="14.25">
      <c r="B471" s="64"/>
      <c r="C471" s="13"/>
      <c r="D471" s="15"/>
      <c r="E471" s="7">
        <v>34454</v>
      </c>
      <c r="F471" s="7"/>
      <c r="G471" s="7">
        <v>5582994</v>
      </c>
      <c r="H471" s="7">
        <f>370000+1399349</f>
        <v>1769349</v>
      </c>
      <c r="I471" s="7">
        <v>507062</v>
      </c>
      <c r="J471" s="7"/>
      <c r="K471" s="7"/>
      <c r="L471" s="7"/>
      <c r="M471" s="7"/>
      <c r="N471" s="7"/>
      <c r="O471" s="7">
        <f>SUM(E471:N471)</f>
        <v>7893859</v>
      </c>
      <c r="P471" s="21"/>
      <c r="BD471" s="71"/>
      <c r="BM471" s="113">
        <f>BM470-BL470</f>
        <v>-35997.28000000119</v>
      </c>
    </row>
    <row r="472" spans="2:56" s="4" customFormat="1" ht="14.25">
      <c r="B472" s="64"/>
      <c r="C472" s="13"/>
      <c r="D472" s="15"/>
      <c r="E472" s="25">
        <f>E471-E470</f>
        <v>0</v>
      </c>
      <c r="F472" s="25">
        <f>F471-F470</f>
        <v>-9204</v>
      </c>
      <c r="G472" s="25">
        <f>G471-G470</f>
        <v>0</v>
      </c>
      <c r="H472" s="25">
        <f aca="true" t="shared" si="210" ref="H472:O472">H471-H470</f>
        <v>0</v>
      </c>
      <c r="I472" s="25">
        <f t="shared" si="210"/>
        <v>0</v>
      </c>
      <c r="J472" s="25">
        <f t="shared" si="210"/>
        <v>-305723</v>
      </c>
      <c r="K472" s="25">
        <f t="shared" si="210"/>
        <v>-386124.06</v>
      </c>
      <c r="L472" s="25">
        <f t="shared" si="210"/>
        <v>0</v>
      </c>
      <c r="M472" s="25">
        <f t="shared" si="210"/>
        <v>0</v>
      </c>
      <c r="N472" s="25">
        <f t="shared" si="210"/>
        <v>0</v>
      </c>
      <c r="O472" s="25">
        <f t="shared" si="210"/>
        <v>-447417.0599999996</v>
      </c>
      <c r="P472" s="48"/>
      <c r="BD472" s="71"/>
    </row>
    <row r="473" spans="2:56" s="4" customFormat="1" ht="14.25">
      <c r="B473" s="64"/>
      <c r="C473" s="13"/>
      <c r="D473" s="1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48"/>
      <c r="BD473" s="71"/>
    </row>
    <row r="474" spans="2:56" s="4" customFormat="1" ht="14.25">
      <c r="B474" s="64"/>
      <c r="C474" s="13"/>
      <c r="D474" s="1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48"/>
      <c r="BD474" s="71"/>
    </row>
    <row r="475" spans="2:56" s="95" customFormat="1" ht="14.25">
      <c r="B475" s="96" t="s">
        <v>292</v>
      </c>
      <c r="C475" s="100"/>
      <c r="D475" s="101"/>
      <c r="E475" s="102"/>
      <c r="F475" s="102"/>
      <c r="G475" s="102"/>
      <c r="H475" s="102"/>
      <c r="BD475" s="111"/>
    </row>
    <row r="476" spans="2:56" s="95" customFormat="1" ht="42.75">
      <c r="B476" s="114" t="s">
        <v>346</v>
      </c>
      <c r="C476" s="100"/>
      <c r="D476" s="101"/>
      <c r="E476" s="102"/>
      <c r="F476" s="102"/>
      <c r="G476" s="102"/>
      <c r="H476" s="102"/>
      <c r="AO476" s="110">
        <f aca="true" t="shared" si="211" ref="AO476:AO484">Q476+S476+U476+W476+Y476+AA476+AC476+AE476+AG476+AI476+AK476+AM476</f>
        <v>0</v>
      </c>
      <c r="AP476" s="110">
        <f aca="true" t="shared" si="212" ref="AP476:AP484">R476+T476+V476+X476+Z476+AB476+AD476+AF476+AH476+AJ476+AL476+AN476</f>
        <v>0</v>
      </c>
      <c r="BD476" s="111"/>
    </row>
    <row r="477" spans="2:56" s="95" customFormat="1" ht="14.25">
      <c r="B477" s="114" t="s">
        <v>369</v>
      </c>
      <c r="C477" s="100"/>
      <c r="D477" s="101"/>
      <c r="E477" s="102"/>
      <c r="F477" s="102"/>
      <c r="G477" s="103"/>
      <c r="H477" s="102"/>
      <c r="AO477" s="110">
        <f t="shared" si="211"/>
        <v>0</v>
      </c>
      <c r="AP477" s="110">
        <f t="shared" si="212"/>
        <v>0</v>
      </c>
      <c r="BD477" s="111"/>
    </row>
    <row r="478" spans="2:56" s="55" customFormat="1" ht="14.25">
      <c r="B478" s="115" t="s">
        <v>371</v>
      </c>
      <c r="G478" s="104"/>
      <c r="AO478" s="110">
        <f t="shared" si="211"/>
        <v>0</v>
      </c>
      <c r="AP478" s="110">
        <f t="shared" si="212"/>
        <v>0</v>
      </c>
      <c r="BD478" s="111"/>
    </row>
    <row r="479" spans="2:56" s="55" customFormat="1" ht="14.25">
      <c r="B479" s="115" t="s">
        <v>372</v>
      </c>
      <c r="G479" s="104"/>
      <c r="AO479" s="110">
        <f t="shared" si="211"/>
        <v>0</v>
      </c>
      <c r="AP479" s="110">
        <f t="shared" si="212"/>
        <v>0</v>
      </c>
      <c r="BD479" s="111"/>
    </row>
    <row r="480" spans="2:56" s="55" customFormat="1" ht="28.5">
      <c r="B480" s="115" t="s">
        <v>373</v>
      </c>
      <c r="W480" s="55">
        <v>24</v>
      </c>
      <c r="X480" s="55">
        <v>2226</v>
      </c>
      <c r="AO480" s="110">
        <f t="shared" si="211"/>
        <v>24</v>
      </c>
      <c r="AP480" s="110">
        <f t="shared" si="212"/>
        <v>2226</v>
      </c>
      <c r="BD480" s="111"/>
    </row>
    <row r="481" spans="2:56" s="55" customFormat="1" ht="14.25">
      <c r="B481" s="115" t="s">
        <v>387</v>
      </c>
      <c r="AO481" s="110">
        <f t="shared" si="211"/>
        <v>0</v>
      </c>
      <c r="AP481" s="110">
        <f t="shared" si="212"/>
        <v>0</v>
      </c>
      <c r="BD481" s="111"/>
    </row>
    <row r="482" spans="2:56" s="55" customFormat="1" ht="14.25">
      <c r="B482" s="115" t="s">
        <v>394</v>
      </c>
      <c r="AO482" s="110">
        <f t="shared" si="211"/>
        <v>0</v>
      </c>
      <c r="AP482" s="110">
        <f t="shared" si="212"/>
        <v>0</v>
      </c>
      <c r="BD482" s="111"/>
    </row>
    <row r="483" spans="2:56" s="55" customFormat="1" ht="25.5">
      <c r="B483" s="69" t="s">
        <v>408</v>
      </c>
      <c r="AO483" s="110">
        <f t="shared" si="211"/>
        <v>0</v>
      </c>
      <c r="AP483" s="110">
        <f t="shared" si="212"/>
        <v>0</v>
      </c>
      <c r="BD483" s="111"/>
    </row>
    <row r="484" spans="2:56" s="55" customFormat="1" ht="38.25">
      <c r="B484" s="69" t="s">
        <v>409</v>
      </c>
      <c r="AO484" s="110">
        <f t="shared" si="211"/>
        <v>0</v>
      </c>
      <c r="AP484" s="110">
        <f t="shared" si="212"/>
        <v>0</v>
      </c>
      <c r="BD484" s="111"/>
    </row>
    <row r="485" spans="2:56" s="55" customFormat="1" ht="12.75">
      <c r="B485" s="69" t="s">
        <v>435</v>
      </c>
      <c r="AO485" s="110">
        <f aca="true" t="shared" si="213" ref="AO485:AO495">Q485+S485+U485+W485+Y485+AA485+AC485+AE485+AG485+AI485+AK485+AM485</f>
        <v>0</v>
      </c>
      <c r="AP485" s="110">
        <f aca="true" t="shared" si="214" ref="AP485:AP495">R485+T485+V485+X485+Z485+AB485+AD485+AF485+AH485+AJ485+AL485+AN485</f>
        <v>0</v>
      </c>
      <c r="BD485" s="111"/>
    </row>
    <row r="486" spans="2:56" s="55" customFormat="1" ht="12.75">
      <c r="B486" s="69" t="s">
        <v>437</v>
      </c>
      <c r="AO486" s="110">
        <f t="shared" si="213"/>
        <v>0</v>
      </c>
      <c r="AP486" s="110">
        <f t="shared" si="214"/>
        <v>0</v>
      </c>
      <c r="BD486" s="111"/>
    </row>
    <row r="487" spans="2:56" s="55" customFormat="1" ht="12.75">
      <c r="B487" s="55" t="s">
        <v>410</v>
      </c>
      <c r="AO487" s="110">
        <f t="shared" si="213"/>
        <v>0</v>
      </c>
      <c r="AP487" s="110">
        <f t="shared" si="214"/>
        <v>0</v>
      </c>
      <c r="BD487" s="111"/>
    </row>
    <row r="488" spans="2:56" s="55" customFormat="1" ht="12.75">
      <c r="B488" s="69" t="s">
        <v>455</v>
      </c>
      <c r="AO488" s="110">
        <f t="shared" si="213"/>
        <v>0</v>
      </c>
      <c r="AP488" s="110">
        <f t="shared" si="214"/>
        <v>0</v>
      </c>
      <c r="BD488" s="111"/>
    </row>
    <row r="489" spans="2:56" s="55" customFormat="1" ht="12.75">
      <c r="B489" s="69" t="s">
        <v>457</v>
      </c>
      <c r="AO489" s="110">
        <f t="shared" si="213"/>
        <v>0</v>
      </c>
      <c r="AP489" s="110">
        <f t="shared" si="214"/>
        <v>0</v>
      </c>
      <c r="BD489" s="111"/>
    </row>
    <row r="490" spans="2:56" s="55" customFormat="1" ht="12.75">
      <c r="B490" s="69" t="s">
        <v>458</v>
      </c>
      <c r="AO490" s="110">
        <f t="shared" si="213"/>
        <v>0</v>
      </c>
      <c r="AP490" s="110">
        <f t="shared" si="214"/>
        <v>0</v>
      </c>
      <c r="BD490" s="111"/>
    </row>
    <row r="491" spans="2:56" s="55" customFormat="1" ht="12.75">
      <c r="B491" s="69"/>
      <c r="AO491" s="110">
        <f t="shared" si="213"/>
        <v>0</v>
      </c>
      <c r="AP491" s="110">
        <f t="shared" si="214"/>
        <v>0</v>
      </c>
      <c r="BD491" s="111"/>
    </row>
    <row r="492" spans="2:56" s="55" customFormat="1" ht="12.75">
      <c r="B492" s="69"/>
      <c r="AO492" s="110">
        <f t="shared" si="213"/>
        <v>0</v>
      </c>
      <c r="AP492" s="110">
        <f t="shared" si="214"/>
        <v>0</v>
      </c>
      <c r="BD492" s="111"/>
    </row>
    <row r="493" spans="2:56" s="55" customFormat="1" ht="12.75">
      <c r="B493" s="69"/>
      <c r="AO493" s="110">
        <f t="shared" si="213"/>
        <v>0</v>
      </c>
      <c r="AP493" s="110">
        <f t="shared" si="214"/>
        <v>0</v>
      </c>
      <c r="BD493" s="111"/>
    </row>
    <row r="494" spans="2:56" s="55" customFormat="1" ht="12.75">
      <c r="B494" s="69" t="s">
        <v>459</v>
      </c>
      <c r="AO494" s="110">
        <f t="shared" si="213"/>
        <v>0</v>
      </c>
      <c r="AP494" s="110">
        <f t="shared" si="214"/>
        <v>0</v>
      </c>
      <c r="BD494" s="111"/>
    </row>
    <row r="495" spans="2:56" s="55" customFormat="1" ht="12.75">
      <c r="B495" s="55" t="s">
        <v>456</v>
      </c>
      <c r="AO495" s="110">
        <f t="shared" si="213"/>
        <v>0</v>
      </c>
      <c r="AP495" s="110">
        <f t="shared" si="214"/>
        <v>0</v>
      </c>
      <c r="BD495" s="111"/>
    </row>
    <row r="496" spans="2:56" s="55" customFormat="1" ht="12.75">
      <c r="B496" s="69" t="s">
        <v>169</v>
      </c>
      <c r="Q496" s="55">
        <f>SUM(Q476:Q495)</f>
        <v>0</v>
      </c>
      <c r="R496" s="55">
        <f>SUM(R476:R495)</f>
        <v>0</v>
      </c>
      <c r="S496" s="55">
        <f aca="true" t="shared" si="215" ref="S496:AP496">SUM(S476:S495)</f>
        <v>0</v>
      </c>
      <c r="T496" s="55">
        <f t="shared" si="215"/>
        <v>0</v>
      </c>
      <c r="U496" s="55">
        <f t="shared" si="215"/>
        <v>0</v>
      </c>
      <c r="V496" s="55">
        <f t="shared" si="215"/>
        <v>0</v>
      </c>
      <c r="W496" s="55">
        <f t="shared" si="215"/>
        <v>24</v>
      </c>
      <c r="X496" s="55">
        <f t="shared" si="215"/>
        <v>2226</v>
      </c>
      <c r="Y496" s="55">
        <f t="shared" si="215"/>
        <v>0</v>
      </c>
      <c r="Z496" s="55">
        <f t="shared" si="215"/>
        <v>0</v>
      </c>
      <c r="AA496" s="55">
        <f t="shared" si="215"/>
        <v>0</v>
      </c>
      <c r="AB496" s="55">
        <f t="shared" si="215"/>
        <v>0</v>
      </c>
      <c r="AC496" s="55">
        <f t="shared" si="215"/>
        <v>0</v>
      </c>
      <c r="AD496" s="55">
        <f t="shared" si="215"/>
        <v>0</v>
      </c>
      <c r="AE496" s="55">
        <f t="shared" si="215"/>
        <v>0</v>
      </c>
      <c r="AF496" s="55">
        <f t="shared" si="215"/>
        <v>0</v>
      </c>
      <c r="AG496" s="55">
        <f t="shared" si="215"/>
        <v>0</v>
      </c>
      <c r="AH496" s="55">
        <f t="shared" si="215"/>
        <v>0</v>
      </c>
      <c r="AI496" s="55">
        <f t="shared" si="215"/>
        <v>0</v>
      </c>
      <c r="AJ496" s="55">
        <f t="shared" si="215"/>
        <v>0</v>
      </c>
      <c r="AK496" s="55">
        <f t="shared" si="215"/>
        <v>0</v>
      </c>
      <c r="AL496" s="55">
        <f t="shared" si="215"/>
        <v>0</v>
      </c>
      <c r="AM496" s="55">
        <f t="shared" si="215"/>
        <v>0</v>
      </c>
      <c r="AN496" s="55">
        <f t="shared" si="215"/>
        <v>0</v>
      </c>
      <c r="AO496" s="55">
        <f>SUM(AO476:AO495)</f>
        <v>24</v>
      </c>
      <c r="AP496" s="55">
        <f t="shared" si="215"/>
        <v>2226</v>
      </c>
      <c r="BD496" s="111"/>
    </row>
  </sheetData>
  <sheetProtection/>
  <mergeCells count="24">
    <mergeCell ref="AW1:AX1"/>
    <mergeCell ref="BA1:BB1"/>
    <mergeCell ref="BC1:BD1"/>
    <mergeCell ref="A416:A418"/>
    <mergeCell ref="J1:N1"/>
    <mergeCell ref="AO1:AP1"/>
    <mergeCell ref="Q1:R1"/>
    <mergeCell ref="S1:T1"/>
    <mergeCell ref="U1:V1"/>
    <mergeCell ref="W1:X1"/>
    <mergeCell ref="BK1:BL1"/>
    <mergeCell ref="A413:A415"/>
    <mergeCell ref="AM1:AN1"/>
    <mergeCell ref="AE1:AF1"/>
    <mergeCell ref="AG1:AH1"/>
    <mergeCell ref="AI1:AJ1"/>
    <mergeCell ref="AK1:AL1"/>
    <mergeCell ref="Y1:Z1"/>
    <mergeCell ref="AA1:AB1"/>
    <mergeCell ref="AC1:AD1"/>
    <mergeCell ref="AY1:AZ1"/>
    <mergeCell ref="BE1:BF1"/>
    <mergeCell ref="BG1:BH1"/>
    <mergeCell ref="BI1:BJ1"/>
  </mergeCells>
  <printOptions/>
  <pageMargins left="0" right="0" top="0.1968503937007874" bottom="0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2022-02-22T09:08:20Z</cp:lastPrinted>
  <dcterms:created xsi:type="dcterms:W3CDTF">2011-01-21T11:32:06Z</dcterms:created>
  <dcterms:modified xsi:type="dcterms:W3CDTF">2022-06-17T10:26:49Z</dcterms:modified>
  <cp:category/>
  <cp:version/>
  <cp:contentType/>
  <cp:contentStatus/>
</cp:coreProperties>
</file>